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LNagle\Desktop\DL-2_27.01\30\Pielikumi\"/>
    </mc:Choice>
  </mc:AlternateContent>
  <xr:revisionPtr revIDLastSave="0" documentId="13_ncr:1_{6DE05907-155F-456D-9E9A-F1C0FBA18ECF}" xr6:coauthVersionLast="47" xr6:coauthVersionMax="47" xr10:uidLastSave="{00000000-0000-0000-0000-000000000000}"/>
  <bookViews>
    <workbookView xWindow="-120" yWindow="-120" windowWidth="29040" windowHeight="13170" tabRatio="904" activeTab="7" xr2:uid="{00000000-000D-0000-FFFF-FFFF00000000}"/>
  </bookViews>
  <sheets>
    <sheet name="PII" sheetId="12" r:id="rId1"/>
    <sheet name="Skolas" sheetId="13" r:id="rId2"/>
    <sheet name="Māksl." sheetId="15" r:id="rId3"/>
    <sheet name="Sp.centrs" sheetId="16" r:id="rId4"/>
    <sheet name="Kult.iest." sheetId="17" r:id="rId5"/>
    <sheet name="Kult.aktivit. 2022" sheetId="67" r:id="rId6"/>
    <sheet name="Polic. 2022" sheetId="68" r:id="rId7"/>
    <sheet name="Soc. apr. 2022" sheetId="69" r:id="rId8"/>
    <sheet name="Pašvald.proj.2022" sheetId="66" r:id="rId9"/>
    <sheet name="ES proj.2022" sheetId="61" r:id="rId10"/>
    <sheet name="Tautsaimn." sheetId="2" r:id="rId11"/>
    <sheet name="Izglīt.soc.proj.2022" sheetId="62" r:id="rId12"/>
    <sheet name="Izpildvara" sheetId="21" r:id="rId13"/>
    <sheet name="Būvvalde" sheetId="29" r:id="rId14"/>
    <sheet name="Fin. PA Ogres komunik." sheetId="24" r:id="rId15"/>
    <sheet name="Finans. kapitālsabiedr." sheetId="55" r:id="rId16"/>
    <sheet name="Tauts.atšifr." sheetId="14" r:id="rId17"/>
    <sheet name="Tauts. Pagastu pārv." sheetId="70" r:id="rId18"/>
    <sheet name="Pārējās dažādas funkc." sheetId="56" r:id="rId19"/>
    <sheet name="SP.komandu atb. 2021" sheetId="60" r:id="rId20"/>
    <sheet name="Sheet2" sheetId="37" state="hidden" r:id="rId2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3" i="67" l="1"/>
  <c r="B6" i="67"/>
  <c r="B34" i="67" s="1"/>
  <c r="V33" i="66" l="1"/>
  <c r="V14" i="66"/>
  <c r="V15" i="66" s="1"/>
  <c r="V34" i="66" l="1"/>
  <c r="F74" i="60"/>
  <c r="E74" i="60"/>
  <c r="G73" i="60"/>
  <c r="G72" i="60"/>
  <c r="G71" i="60"/>
  <c r="G70" i="60"/>
  <c r="G69" i="60"/>
  <c r="G68" i="60"/>
  <c r="G67" i="60"/>
  <c r="G66" i="60"/>
  <c r="G65" i="60"/>
  <c r="G64" i="60"/>
  <c r="G63" i="60"/>
  <c r="G62" i="60"/>
  <c r="G61" i="60"/>
  <c r="G60" i="60"/>
  <c r="G59" i="60"/>
  <c r="G58" i="60"/>
  <c r="G57" i="60"/>
  <c r="G56" i="60"/>
  <c r="G55" i="60"/>
  <c r="G54" i="60"/>
  <c r="G53" i="60"/>
  <c r="G52" i="60"/>
  <c r="G51" i="60"/>
  <c r="G50" i="60"/>
  <c r="G49" i="60"/>
  <c r="G48" i="60"/>
  <c r="G47" i="60"/>
  <c r="G45" i="60"/>
  <c r="G44" i="60"/>
  <c r="G42" i="60"/>
  <c r="G41" i="60"/>
  <c r="G40" i="60"/>
  <c r="G39" i="60"/>
  <c r="G38" i="60"/>
  <c r="G36" i="60"/>
  <c r="G35" i="60"/>
  <c r="G34" i="60"/>
  <c r="G33" i="60"/>
  <c r="G32" i="60"/>
  <c r="G31" i="60"/>
  <c r="G30" i="60"/>
  <c r="G29" i="60"/>
  <c r="G28" i="60"/>
  <c r="G27" i="60"/>
  <c r="G26" i="60"/>
  <c r="G25" i="60"/>
  <c r="G22" i="60"/>
  <c r="G21" i="60"/>
  <c r="G20" i="60"/>
  <c r="G19" i="60"/>
  <c r="G18" i="60"/>
  <c r="G17" i="60"/>
  <c r="G16" i="60"/>
  <c r="G15" i="60"/>
  <c r="G14" i="60"/>
  <c r="G13" i="60"/>
  <c r="G12" i="60"/>
  <c r="G11" i="60"/>
  <c r="G10" i="60"/>
  <c r="G74" i="60" l="1"/>
  <c r="C15" i="2"/>
  <c r="C19" i="21" l="1"/>
  <c r="G44" i="69"/>
  <c r="G9" i="56" l="1"/>
  <c r="G22" i="56" s="1"/>
  <c r="H9" i="56" l="1"/>
  <c r="H22" i="56"/>
  <c r="D20" i="15" l="1"/>
  <c r="E20" i="15"/>
  <c r="F20" i="15"/>
  <c r="G20" i="15"/>
  <c r="H20" i="15"/>
  <c r="N13" i="13" l="1"/>
  <c r="E13" i="13" l="1"/>
  <c r="E20" i="13"/>
  <c r="D13" i="13"/>
  <c r="F10" i="69" l="1"/>
  <c r="F27" i="69" s="1"/>
  <c r="C12" i="68" l="1"/>
  <c r="C9" i="68"/>
  <c r="C18" i="21" l="1"/>
  <c r="C12" i="21" l="1"/>
  <c r="C19" i="16" l="1"/>
  <c r="D19" i="15" l="1"/>
  <c r="C64" i="14"/>
  <c r="C28" i="55" l="1"/>
  <c r="C63" i="2" l="1"/>
  <c r="H10" i="70" l="1"/>
  <c r="H26" i="70" s="1"/>
  <c r="I10" i="70"/>
  <c r="I26" i="70" s="1"/>
  <c r="J10" i="70"/>
  <c r="J26" i="70" s="1"/>
  <c r="K10" i="70"/>
  <c r="K26" i="70" s="1"/>
  <c r="G10" i="70"/>
  <c r="G26" i="70" s="1"/>
  <c r="F10" i="70"/>
  <c r="F26" i="70" s="1"/>
  <c r="E10" i="70"/>
  <c r="E26" i="70" s="1"/>
  <c r="D10" i="70"/>
  <c r="D26" i="70" s="1"/>
  <c r="C39" i="14" l="1"/>
  <c r="L9" i="56"/>
  <c r="M9" i="56"/>
  <c r="M22" i="56" s="1"/>
  <c r="N9" i="56"/>
  <c r="Z11" i="17" l="1"/>
  <c r="Z23" i="17" s="1"/>
  <c r="Z25" i="17" s="1"/>
  <c r="AA11" i="17"/>
  <c r="AA23" i="17" s="1"/>
  <c r="AA25" i="17" s="1"/>
  <c r="E11" i="56"/>
  <c r="C20" i="14"/>
  <c r="C69" i="14" l="1"/>
  <c r="C46" i="14"/>
  <c r="C6" i="14"/>
  <c r="C7" i="14" s="1"/>
  <c r="C82" i="2"/>
  <c r="C49" i="2"/>
  <c r="C38" i="2"/>
  <c r="C32" i="2"/>
  <c r="C7" i="2"/>
  <c r="G48" i="69"/>
  <c r="G36" i="69"/>
  <c r="G51" i="69" s="1"/>
  <c r="H21" i="69"/>
  <c r="G21" i="69"/>
  <c r="G27" i="69" s="1"/>
  <c r="E21" i="69"/>
  <c r="D21" i="69"/>
  <c r="D27" i="69" s="1"/>
  <c r="C21" i="69"/>
  <c r="H10" i="69"/>
  <c r="E10" i="69"/>
  <c r="C10" i="69"/>
  <c r="F20" i="68"/>
  <c r="E20" i="68"/>
  <c r="D20" i="68"/>
  <c r="C20" i="68"/>
  <c r="C19" i="68"/>
  <c r="C15" i="68"/>
  <c r="C13" i="68"/>
  <c r="F10" i="68"/>
  <c r="E10" i="68"/>
  <c r="D10" i="68"/>
  <c r="D24" i="68" s="1"/>
  <c r="C8" i="68"/>
  <c r="C13" i="16"/>
  <c r="C12" i="16"/>
  <c r="C11" i="16"/>
  <c r="C9" i="16"/>
  <c r="C8" i="16"/>
  <c r="F24" i="68" l="1"/>
  <c r="E24" i="68"/>
  <c r="E27" i="69"/>
  <c r="C27" i="69"/>
  <c r="H27" i="69"/>
  <c r="C10" i="68"/>
  <c r="C24" i="68" s="1"/>
  <c r="I22" i="62"/>
  <c r="I21" i="62"/>
  <c r="H23" i="62"/>
  <c r="AK9" i="66" l="1"/>
  <c r="G21" i="12" l="1"/>
  <c r="P20" i="13" l="1"/>
  <c r="I9" i="13" l="1"/>
  <c r="I8" i="13"/>
  <c r="L11" i="12"/>
  <c r="L10" i="12"/>
  <c r="K11" i="12"/>
  <c r="K10" i="12"/>
  <c r="O15" i="12" l="1"/>
  <c r="C31" i="13" l="1"/>
  <c r="M13" i="13"/>
  <c r="M20" i="13" l="1"/>
  <c r="AH23" i="62" l="1"/>
  <c r="AH37" i="62" s="1"/>
  <c r="AH11" i="62" l="1"/>
  <c r="AH16" i="62" s="1"/>
  <c r="AH17" i="62" s="1"/>
  <c r="AH38" i="62" s="1"/>
  <c r="H13" i="15" l="1"/>
  <c r="C30" i="13"/>
  <c r="P13" i="13"/>
  <c r="O13" i="13"/>
  <c r="J13" i="13"/>
  <c r="Z20" i="66" l="1"/>
  <c r="Z33" i="66" s="1"/>
  <c r="Z14" i="66"/>
  <c r="Z15" i="66" s="1"/>
  <c r="Q29" i="66"/>
  <c r="Q20" i="66"/>
  <c r="Q14" i="66"/>
  <c r="Q15" i="66" s="1"/>
  <c r="Z34" i="66" l="1"/>
  <c r="Q33" i="66"/>
  <c r="Q34" i="66" s="1"/>
  <c r="L13" i="13"/>
  <c r="K13" i="13"/>
  <c r="I13" i="13"/>
  <c r="H13" i="13"/>
  <c r="G13" i="13"/>
  <c r="F13" i="13"/>
  <c r="O20" i="13"/>
  <c r="N20" i="13"/>
  <c r="L20" i="13" l="1"/>
  <c r="K20" i="13"/>
  <c r="J20" i="13"/>
  <c r="I20" i="13"/>
  <c r="H20" i="13"/>
  <c r="D20" i="13"/>
  <c r="G20" i="13"/>
  <c r="F20" i="13"/>
  <c r="H15" i="12" l="1"/>
  <c r="F15" i="12"/>
  <c r="I15" i="12"/>
  <c r="G15" i="12"/>
  <c r="J15" i="12"/>
  <c r="E15" i="12"/>
  <c r="D15" i="12"/>
  <c r="M15" i="12"/>
  <c r="N15" i="12"/>
  <c r="K15" i="12"/>
  <c r="L15" i="12"/>
  <c r="I27" i="13" l="1"/>
  <c r="E27" i="13"/>
  <c r="D27" i="13"/>
  <c r="C28" i="13"/>
  <c r="F27" i="13" l="1"/>
  <c r="P9" i="13" l="1"/>
  <c r="P8" i="13"/>
  <c r="I11" i="17" l="1"/>
  <c r="I23" i="17" s="1"/>
  <c r="I25" i="17" s="1"/>
  <c r="J11" i="17"/>
  <c r="J23" i="17" s="1"/>
  <c r="J25" i="17" s="1"/>
  <c r="E13" i="17" l="1"/>
  <c r="P9" i="66" l="1"/>
  <c r="L10" i="13" l="1"/>
  <c r="C29" i="13" l="1"/>
  <c r="C32" i="13"/>
  <c r="C33" i="13"/>
  <c r="C27" i="13"/>
  <c r="C14" i="13"/>
  <c r="C29" i="12" l="1"/>
  <c r="C30" i="12"/>
  <c r="C31" i="12"/>
  <c r="C28" i="12"/>
  <c r="C25" i="12"/>
  <c r="C23" i="12"/>
  <c r="C24" i="12"/>
  <c r="C26" i="12"/>
  <c r="C21" i="12"/>
  <c r="C11" i="12"/>
  <c r="C10" i="12"/>
  <c r="C14" i="12"/>
  <c r="C15" i="12"/>
  <c r="C16" i="12"/>
  <c r="C17" i="12"/>
  <c r="C18" i="12"/>
  <c r="C19" i="12"/>
  <c r="C20" i="12"/>
  <c r="C13" i="12"/>
  <c r="C12" i="12" l="1"/>
  <c r="C19" i="55" l="1"/>
  <c r="O9" i="66" l="1"/>
  <c r="AK14" i="62" l="1"/>
  <c r="AJ12" i="62"/>
  <c r="AG25" i="62"/>
  <c r="AF24" i="62"/>
  <c r="AD24" i="62"/>
  <c r="AB24" i="62"/>
  <c r="X12" i="62"/>
  <c r="O25" i="62"/>
  <c r="G25" i="62"/>
  <c r="F12" i="62"/>
  <c r="E22" i="62"/>
  <c r="E21" i="62"/>
  <c r="O8" i="61" l="1"/>
  <c r="N8" i="61"/>
  <c r="K20" i="61"/>
  <c r="K8" i="61"/>
  <c r="J7" i="61"/>
  <c r="I8" i="61"/>
  <c r="H7" i="61"/>
  <c r="AK14" i="66" l="1"/>
  <c r="AK15" i="66" s="1"/>
  <c r="AK20" i="66"/>
  <c r="AK33" i="66" s="1"/>
  <c r="AK34" i="66" l="1"/>
  <c r="K8" i="13" l="1"/>
  <c r="L22" i="12" l="1"/>
  <c r="K22" i="12"/>
  <c r="L12" i="12"/>
  <c r="L27" i="12" s="1"/>
  <c r="L32" i="12" s="1"/>
  <c r="K12" i="12"/>
  <c r="K27" i="12" s="1"/>
  <c r="K32" i="12" s="1"/>
  <c r="AI9" i="66" l="1"/>
  <c r="AI14" i="66" s="1"/>
  <c r="AH14" i="66"/>
  <c r="AJ14" i="66"/>
  <c r="O11" i="17" l="1"/>
  <c r="O23" i="17" s="1"/>
  <c r="O25" i="17" s="1"/>
  <c r="N11" i="17" l="1"/>
  <c r="N23" i="17" s="1"/>
  <c r="N25" i="17" s="1"/>
  <c r="U11" i="17" l="1"/>
  <c r="U23" i="17" s="1"/>
  <c r="U25" i="17" s="1"/>
  <c r="S11" i="17" l="1"/>
  <c r="S23" i="17" s="1"/>
  <c r="S25" i="17" s="1"/>
  <c r="T11" i="17"/>
  <c r="T23" i="17" s="1"/>
  <c r="T25" i="17" s="1"/>
  <c r="E21" i="17" l="1"/>
  <c r="H21" i="17" l="1"/>
  <c r="H11" i="17" l="1"/>
  <c r="H23" i="17" s="1"/>
  <c r="H25" i="17" s="1"/>
  <c r="G21" i="17"/>
  <c r="D20" i="16" l="1"/>
  <c r="D10" i="16"/>
  <c r="D25" i="16" s="1"/>
  <c r="D29" i="16" s="1"/>
  <c r="H12" i="15"/>
  <c r="G10" i="15" l="1"/>
  <c r="G25" i="15" s="1"/>
  <c r="G30" i="15" s="1"/>
  <c r="D22" i="12" l="1"/>
  <c r="E21" i="13" l="1"/>
  <c r="F21" i="13"/>
  <c r="G21" i="13"/>
  <c r="H21" i="13"/>
  <c r="I21" i="13"/>
  <c r="J21" i="13"/>
  <c r="K21" i="13"/>
  <c r="L21" i="13"/>
  <c r="L26" i="13" s="1"/>
  <c r="M21" i="13"/>
  <c r="N21" i="13"/>
  <c r="O21" i="13"/>
  <c r="P21" i="13"/>
  <c r="Q21" i="13"/>
  <c r="D21" i="13"/>
  <c r="D10" i="13"/>
  <c r="D26" i="13" s="1"/>
  <c r="C9" i="13"/>
  <c r="C8" i="13"/>
  <c r="C23" i="13"/>
  <c r="C24" i="13"/>
  <c r="C25" i="13"/>
  <c r="C22" i="13"/>
  <c r="C20" i="13"/>
  <c r="C19" i="13"/>
  <c r="C18" i="13"/>
  <c r="C16" i="13"/>
  <c r="C17" i="13"/>
  <c r="C15" i="13"/>
  <c r="C13" i="13"/>
  <c r="C12" i="13"/>
  <c r="C11" i="13"/>
  <c r="C21" i="13" l="1"/>
  <c r="C10" i="13"/>
  <c r="C26" i="13" l="1"/>
  <c r="P10" i="13"/>
  <c r="P26" i="13" s="1"/>
  <c r="P34" i="13" l="1"/>
  <c r="R23" i="62" l="1"/>
  <c r="AF25" i="62" l="1"/>
  <c r="AE24" i="62"/>
  <c r="AD25" i="62"/>
  <c r="AC24" i="62"/>
  <c r="Z25" i="62"/>
  <c r="L23" i="62"/>
  <c r="L37" i="62" s="1"/>
  <c r="L11" i="62"/>
  <c r="L16" i="62" s="1"/>
  <c r="L17" i="62" s="1"/>
  <c r="U23" i="62"/>
  <c r="U37" i="62" s="1"/>
  <c r="U11" i="62"/>
  <c r="U16" i="62" s="1"/>
  <c r="U17" i="62" s="1"/>
  <c r="T23" i="62"/>
  <c r="T37" i="62" s="1"/>
  <c r="S23" i="62"/>
  <c r="S37" i="62" s="1"/>
  <c r="R37" i="62"/>
  <c r="S11" i="62"/>
  <c r="S16" i="62" s="1"/>
  <c r="S17" i="62" s="1"/>
  <c r="T11" i="62"/>
  <c r="T16" i="62" s="1"/>
  <c r="T17" i="62" s="1"/>
  <c r="V11" i="62"/>
  <c r="V16" i="62" s="1"/>
  <c r="V17" i="62" s="1"/>
  <c r="Q23" i="62"/>
  <c r="Q37" i="62" s="1"/>
  <c r="O12" i="62"/>
  <c r="O11" i="62" s="1"/>
  <c r="O16" i="62" s="1"/>
  <c r="O17" i="62" s="1"/>
  <c r="N23" i="62"/>
  <c r="N37" i="62" s="1"/>
  <c r="O23" i="62"/>
  <c r="O37" i="62" s="1"/>
  <c r="P23" i="62"/>
  <c r="P37" i="62" s="1"/>
  <c r="V23" i="62"/>
  <c r="V37" i="62" s="1"/>
  <c r="N11" i="62"/>
  <c r="N16" i="62" s="1"/>
  <c r="N17" i="62" s="1"/>
  <c r="P11" i="62"/>
  <c r="P16" i="62" s="1"/>
  <c r="P17" i="62" s="1"/>
  <c r="Q11" i="62"/>
  <c r="Q16" i="62" s="1"/>
  <c r="Q17" i="62" s="1"/>
  <c r="R11" i="62"/>
  <c r="R16" i="62" s="1"/>
  <c r="R17" i="62" s="1"/>
  <c r="L38" i="62" l="1"/>
  <c r="U38" i="62"/>
  <c r="V38" i="62"/>
  <c r="T38" i="62"/>
  <c r="S38" i="62"/>
  <c r="R38" i="62"/>
  <c r="Q38" i="62"/>
  <c r="P38" i="62"/>
  <c r="O38" i="62"/>
  <c r="N38" i="62"/>
  <c r="D32" i="66" l="1"/>
  <c r="D31" i="66"/>
  <c r="D30" i="66"/>
  <c r="S29" i="66"/>
  <c r="D28" i="66"/>
  <c r="D27" i="66"/>
  <c r="D26" i="66"/>
  <c r="D25" i="66"/>
  <c r="D24" i="66"/>
  <c r="D23" i="66"/>
  <c r="D22" i="66"/>
  <c r="D21" i="66"/>
  <c r="AT20" i="66"/>
  <c r="AT33" i="66" s="1"/>
  <c r="AS20" i="66"/>
  <c r="AS33" i="66" s="1"/>
  <c r="AR20" i="66"/>
  <c r="AR33" i="66" s="1"/>
  <c r="AQ20" i="66"/>
  <c r="AQ33" i="66" s="1"/>
  <c r="AP20" i="66"/>
  <c r="AP33" i="66" s="1"/>
  <c r="AO20" i="66"/>
  <c r="AO33" i="66" s="1"/>
  <c r="AN20" i="66"/>
  <c r="AN33" i="66" s="1"/>
  <c r="AM20" i="66"/>
  <c r="AM33" i="66" s="1"/>
  <c r="AL20" i="66"/>
  <c r="AL33" i="66" s="1"/>
  <c r="AJ20" i="66"/>
  <c r="AJ33" i="66" s="1"/>
  <c r="AI20" i="66"/>
  <c r="AI33" i="66" s="1"/>
  <c r="AH20" i="66"/>
  <c r="AH33" i="66" s="1"/>
  <c r="AG20" i="66"/>
  <c r="AG33" i="66" s="1"/>
  <c r="AF20" i="66"/>
  <c r="AF33" i="66" s="1"/>
  <c r="AE20" i="66"/>
  <c r="AE33" i="66" s="1"/>
  <c r="AD20" i="66"/>
  <c r="AD33" i="66" s="1"/>
  <c r="AC20" i="66"/>
  <c r="AC33" i="66" s="1"/>
  <c r="AB20" i="66"/>
  <c r="AB33" i="66" s="1"/>
  <c r="AA20" i="66"/>
  <c r="AA33" i="66" s="1"/>
  <c r="Y20" i="66"/>
  <c r="Y33" i="66" s="1"/>
  <c r="X20" i="66"/>
  <c r="X33" i="66" s="1"/>
  <c r="W20" i="66"/>
  <c r="W33" i="66" s="1"/>
  <c r="U20" i="66"/>
  <c r="U33" i="66" s="1"/>
  <c r="T20" i="66"/>
  <c r="T33" i="66" s="1"/>
  <c r="S20" i="66"/>
  <c r="R20" i="66"/>
  <c r="R33" i="66" s="1"/>
  <c r="P20" i="66"/>
  <c r="O20" i="66"/>
  <c r="O33" i="66" s="1"/>
  <c r="N20" i="66"/>
  <c r="N33" i="66" s="1"/>
  <c r="M20" i="66"/>
  <c r="M33" i="66" s="1"/>
  <c r="L20" i="66"/>
  <c r="L33" i="66" s="1"/>
  <c r="K20" i="66"/>
  <c r="K33" i="66" s="1"/>
  <c r="J20" i="66"/>
  <c r="J33" i="66" s="1"/>
  <c r="I20" i="66"/>
  <c r="I33" i="66" s="1"/>
  <c r="H20" i="66"/>
  <c r="H33" i="66" s="1"/>
  <c r="G20" i="66"/>
  <c r="G33" i="66" s="1"/>
  <c r="F20" i="66"/>
  <c r="F33" i="66" s="1"/>
  <c r="E20" i="66"/>
  <c r="E33" i="66" s="1"/>
  <c r="D19" i="66"/>
  <c r="D18" i="66"/>
  <c r="AT14" i="66"/>
  <c r="AT15" i="66" s="1"/>
  <c r="AS14" i="66"/>
  <c r="AS15" i="66" s="1"/>
  <c r="AR14" i="66"/>
  <c r="AR15" i="66" s="1"/>
  <c r="AQ14" i="66"/>
  <c r="AQ15" i="66" s="1"/>
  <c r="AP14" i="66"/>
  <c r="AP15" i="66" s="1"/>
  <c r="AO14" i="66"/>
  <c r="AO15" i="66" s="1"/>
  <c r="AN14" i="66"/>
  <c r="AN15" i="66" s="1"/>
  <c r="AM14" i="66"/>
  <c r="AM15" i="66" s="1"/>
  <c r="AL14" i="66"/>
  <c r="AL15" i="66" s="1"/>
  <c r="AJ15" i="66"/>
  <c r="AI15" i="66"/>
  <c r="AH15" i="66"/>
  <c r="AG14" i="66"/>
  <c r="AG15" i="66" s="1"/>
  <c r="AF14" i="66"/>
  <c r="AF15" i="66" s="1"/>
  <c r="AE14" i="66"/>
  <c r="AE15" i="66" s="1"/>
  <c r="AD14" i="66"/>
  <c r="AD15" i="66" s="1"/>
  <c r="AC14" i="66"/>
  <c r="AC15" i="66" s="1"/>
  <c r="AB14" i="66"/>
  <c r="AB15" i="66" s="1"/>
  <c r="AA14" i="66"/>
  <c r="AA15" i="66" s="1"/>
  <c r="Y14" i="66"/>
  <c r="Y15" i="66" s="1"/>
  <c r="X14" i="66"/>
  <c r="X15" i="66" s="1"/>
  <c r="W14" i="66"/>
  <c r="W15" i="66" s="1"/>
  <c r="U14" i="66"/>
  <c r="T14" i="66"/>
  <c r="T15" i="66" s="1"/>
  <c r="S14" i="66"/>
  <c r="S15" i="66" s="1"/>
  <c r="R14" i="66"/>
  <c r="R15" i="66" s="1"/>
  <c r="P14" i="66"/>
  <c r="P15" i="66" s="1"/>
  <c r="O14" i="66"/>
  <c r="O15" i="66" s="1"/>
  <c r="N14" i="66"/>
  <c r="N15" i="66" s="1"/>
  <c r="M14" i="66"/>
  <c r="M15" i="66" s="1"/>
  <c r="L14" i="66"/>
  <c r="L15" i="66" s="1"/>
  <c r="K14" i="66"/>
  <c r="K15" i="66" s="1"/>
  <c r="J14" i="66"/>
  <c r="J15" i="66" s="1"/>
  <c r="H14" i="66"/>
  <c r="H15" i="66" s="1"/>
  <c r="G14" i="66"/>
  <c r="G15" i="66" s="1"/>
  <c r="F14" i="66"/>
  <c r="F15" i="66" s="1"/>
  <c r="E14" i="66"/>
  <c r="E15" i="66" s="1"/>
  <c r="D13" i="66"/>
  <c r="D12" i="66"/>
  <c r="D11" i="66"/>
  <c r="D10" i="66"/>
  <c r="I14" i="66"/>
  <c r="I15" i="66" s="1"/>
  <c r="D9" i="66"/>
  <c r="D8" i="66"/>
  <c r="S33" i="66" l="1"/>
  <c r="S34" i="66" s="1"/>
  <c r="D14" i="66"/>
  <c r="D15" i="66" s="1"/>
  <c r="AS34" i="66"/>
  <c r="AP34" i="66"/>
  <c r="AO34" i="66"/>
  <c r="AM34" i="66"/>
  <c r="AI34" i="66"/>
  <c r="AJ34" i="66"/>
  <c r="AR34" i="66"/>
  <c r="N34" i="66"/>
  <c r="AC34" i="66"/>
  <c r="R34" i="66"/>
  <c r="AQ34" i="66"/>
  <c r="AT34" i="66"/>
  <c r="AE34" i="66"/>
  <c r="AG34" i="66"/>
  <c r="AB34" i="66"/>
  <c r="AD34" i="66"/>
  <c r="AF34" i="66"/>
  <c r="J34" i="66"/>
  <c r="U15" i="66"/>
  <c r="U34" i="66" s="1"/>
  <c r="AA34" i="66"/>
  <c r="I34" i="66"/>
  <c r="Y34" i="66"/>
  <c r="L34" i="66"/>
  <c r="AL34" i="66"/>
  <c r="P33" i="66"/>
  <c r="P34" i="66" s="1"/>
  <c r="D20" i="66"/>
  <c r="W34" i="66"/>
  <c r="E34" i="66"/>
  <c r="M34" i="66"/>
  <c r="AH34" i="66"/>
  <c r="AN34" i="66"/>
  <c r="F34" i="66"/>
  <c r="K34" i="66"/>
  <c r="O34" i="66"/>
  <c r="T34" i="66"/>
  <c r="X34" i="66"/>
  <c r="G34" i="66"/>
  <c r="H34" i="66"/>
  <c r="D29" i="66" l="1"/>
  <c r="D33" i="66" s="1"/>
  <c r="D34" i="66" s="1"/>
  <c r="O18" i="61" l="1"/>
  <c r="O30" i="61" s="1"/>
  <c r="O12" i="61"/>
  <c r="O13" i="61" s="1"/>
  <c r="O31" i="61" l="1"/>
  <c r="D36" i="62" l="1"/>
  <c r="D35" i="62" s="1"/>
  <c r="D34" i="62"/>
  <c r="D33" i="62"/>
  <c r="D32" i="62"/>
  <c r="D31" i="62"/>
  <c r="D30" i="62"/>
  <c r="D29" i="62"/>
  <c r="D28" i="62"/>
  <c r="D27" i="62"/>
  <c r="D26" i="62"/>
  <c r="D25" i="62"/>
  <c r="AD23" i="62"/>
  <c r="AD37" i="62" s="1"/>
  <c r="AL23" i="62"/>
  <c r="AL37" i="62" s="1"/>
  <c r="AK23" i="62"/>
  <c r="AK37" i="62" s="1"/>
  <c r="AJ23" i="62"/>
  <c r="AJ37" i="62" s="1"/>
  <c r="AG23" i="62"/>
  <c r="AG37" i="62" s="1"/>
  <c r="AF23" i="62"/>
  <c r="AF37" i="62" s="1"/>
  <c r="AE23" i="62"/>
  <c r="AE37" i="62" s="1"/>
  <c r="AC23" i="62"/>
  <c r="AC37" i="62" s="1"/>
  <c r="AB23" i="62"/>
  <c r="AB37" i="62" s="1"/>
  <c r="AA23" i="62"/>
  <c r="AA37" i="62" s="1"/>
  <c r="Z23" i="62"/>
  <c r="Z37" i="62" s="1"/>
  <c r="Y23" i="62"/>
  <c r="Y37" i="62" s="1"/>
  <c r="AI23" i="62"/>
  <c r="AI37" i="62" s="1"/>
  <c r="X23" i="62"/>
  <c r="X37" i="62" s="1"/>
  <c r="W23" i="62"/>
  <c r="W37" i="62" s="1"/>
  <c r="M23" i="62"/>
  <c r="M37" i="62" s="1"/>
  <c r="K23" i="62"/>
  <c r="K37" i="62" s="1"/>
  <c r="J23" i="62"/>
  <c r="J37" i="62" s="1"/>
  <c r="I23" i="62"/>
  <c r="I37" i="62" s="1"/>
  <c r="H37" i="62"/>
  <c r="G23" i="62"/>
  <c r="G37" i="62" s="1"/>
  <c r="F23" i="62"/>
  <c r="F37" i="62" s="1"/>
  <c r="E23" i="62"/>
  <c r="E37" i="62" s="1"/>
  <c r="D22" i="62"/>
  <c r="D21" i="62"/>
  <c r="D15" i="62"/>
  <c r="D14" i="62"/>
  <c r="D13" i="62"/>
  <c r="D12" i="62"/>
  <c r="AL11" i="62"/>
  <c r="AL16" i="62" s="1"/>
  <c r="AL17" i="62" s="1"/>
  <c r="AK11" i="62"/>
  <c r="AK16" i="62" s="1"/>
  <c r="AK17" i="62" s="1"/>
  <c r="AJ11" i="62"/>
  <c r="AJ16" i="62" s="1"/>
  <c r="AJ17" i="62" s="1"/>
  <c r="AG11" i="62"/>
  <c r="AG16" i="62" s="1"/>
  <c r="AG17" i="62" s="1"/>
  <c r="AF11" i="62"/>
  <c r="AF16" i="62" s="1"/>
  <c r="AF17" i="62" s="1"/>
  <c r="AE11" i="62"/>
  <c r="AE16" i="62" s="1"/>
  <c r="AE17" i="62" s="1"/>
  <c r="AD11" i="62"/>
  <c r="AD16" i="62" s="1"/>
  <c r="AD17" i="62" s="1"/>
  <c r="AC11" i="62"/>
  <c r="AC16" i="62" s="1"/>
  <c r="AC17" i="62" s="1"/>
  <c r="AB11" i="62"/>
  <c r="AB16" i="62" s="1"/>
  <c r="AB17" i="62" s="1"/>
  <c r="AA11" i="62"/>
  <c r="AA16" i="62" s="1"/>
  <c r="AA17" i="62" s="1"/>
  <c r="Z11" i="62"/>
  <c r="Z16" i="62" s="1"/>
  <c r="Z17" i="62" s="1"/>
  <c r="Y11" i="62"/>
  <c r="Y16" i="62" s="1"/>
  <c r="Y17" i="62" s="1"/>
  <c r="AI11" i="62"/>
  <c r="AI16" i="62" s="1"/>
  <c r="AI17" i="62" s="1"/>
  <c r="X11" i="62"/>
  <c r="X16" i="62" s="1"/>
  <c r="X17" i="62" s="1"/>
  <c r="W11" i="62"/>
  <c r="W16" i="62" s="1"/>
  <c r="W17" i="62" s="1"/>
  <c r="M11" i="62"/>
  <c r="M16" i="62" s="1"/>
  <c r="M17" i="62" s="1"/>
  <c r="K11" i="62"/>
  <c r="K16" i="62" s="1"/>
  <c r="K17" i="62" s="1"/>
  <c r="J11" i="62"/>
  <c r="J16" i="62" s="1"/>
  <c r="J17" i="62" s="1"/>
  <c r="I11" i="62"/>
  <c r="I16" i="62" s="1"/>
  <c r="I17" i="62" s="1"/>
  <c r="H11" i="62"/>
  <c r="H16" i="62" s="1"/>
  <c r="H17" i="62" s="1"/>
  <c r="G11" i="62"/>
  <c r="G16" i="62" s="1"/>
  <c r="G17" i="62" s="1"/>
  <c r="F11" i="62"/>
  <c r="F16" i="62" s="1"/>
  <c r="F17" i="62" s="1"/>
  <c r="E11" i="62"/>
  <c r="E16" i="62" s="1"/>
  <c r="E17" i="62" s="1"/>
  <c r="D10" i="62"/>
  <c r="D9" i="62"/>
  <c r="D29" i="61"/>
  <c r="D28" i="61"/>
  <c r="D27" i="61"/>
  <c r="D26" i="61"/>
  <c r="D25" i="61"/>
  <c r="D24" i="61"/>
  <c r="D23" i="61"/>
  <c r="D22" i="61"/>
  <c r="D21" i="61"/>
  <c r="D20" i="61"/>
  <c r="D19" i="61"/>
  <c r="N18" i="61"/>
  <c r="N30" i="61" s="1"/>
  <c r="M18" i="61"/>
  <c r="M30" i="61" s="1"/>
  <c r="L18" i="61"/>
  <c r="L30" i="61" s="1"/>
  <c r="K18" i="61"/>
  <c r="K30" i="61" s="1"/>
  <c r="J18" i="61"/>
  <c r="J30" i="61" s="1"/>
  <c r="I18" i="61"/>
  <c r="I30" i="61" s="1"/>
  <c r="H18" i="61"/>
  <c r="H30" i="61" s="1"/>
  <c r="G18" i="61"/>
  <c r="G30" i="61" s="1"/>
  <c r="F18" i="61"/>
  <c r="F30" i="61" s="1"/>
  <c r="E18" i="61"/>
  <c r="E30" i="61" s="1"/>
  <c r="D17" i="61"/>
  <c r="D16" i="61"/>
  <c r="N12" i="61"/>
  <c r="N13" i="61" s="1"/>
  <c r="N31" i="61" s="1"/>
  <c r="M12" i="61"/>
  <c r="M13" i="61" s="1"/>
  <c r="L12" i="61"/>
  <c r="L13" i="61" s="1"/>
  <c r="K12" i="61"/>
  <c r="K13" i="61" s="1"/>
  <c r="J12" i="61"/>
  <c r="J13" i="61" s="1"/>
  <c r="I12" i="61"/>
  <c r="I13" i="61" s="1"/>
  <c r="H12" i="61"/>
  <c r="H13" i="61" s="1"/>
  <c r="G12" i="61"/>
  <c r="G13" i="61" s="1"/>
  <c r="G31" i="61" s="1"/>
  <c r="F12" i="61"/>
  <c r="F13" i="61" s="1"/>
  <c r="F31" i="61" s="1"/>
  <c r="E12" i="61"/>
  <c r="E13" i="61" s="1"/>
  <c r="D11" i="61"/>
  <c r="D10" i="61"/>
  <c r="D9" i="61"/>
  <c r="D8" i="61"/>
  <c r="D7" i="61"/>
  <c r="D6" i="61"/>
  <c r="AC38" i="62" l="1"/>
  <c r="D11" i="62"/>
  <c r="F38" i="62"/>
  <c r="X38" i="62"/>
  <c r="K31" i="61"/>
  <c r="J31" i="61"/>
  <c r="D24" i="62"/>
  <c r="D23" i="62" s="1"/>
  <c r="D37" i="62" s="1"/>
  <c r="Y38" i="62"/>
  <c r="H38" i="62"/>
  <c r="M38" i="62"/>
  <c r="AI38" i="62"/>
  <c r="AA38" i="62"/>
  <c r="AK38" i="62"/>
  <c r="AE38" i="62"/>
  <c r="AD38" i="62"/>
  <c r="E38" i="62"/>
  <c r="I38" i="62"/>
  <c r="W38" i="62"/>
  <c r="AB38" i="62"/>
  <c r="AG38" i="62"/>
  <c r="G38" i="62"/>
  <c r="K38" i="62"/>
  <c r="Z38" i="62"/>
  <c r="AJ38" i="62"/>
  <c r="AL38" i="62"/>
  <c r="D18" i="61"/>
  <c r="D30" i="61" s="1"/>
  <c r="H31" i="61"/>
  <c r="L31" i="61"/>
  <c r="D16" i="62"/>
  <c r="D17" i="62" s="1"/>
  <c r="D12" i="61"/>
  <c r="D13" i="61" s="1"/>
  <c r="J38" i="62"/>
  <c r="AF38" i="62"/>
  <c r="E31" i="61"/>
  <c r="I31" i="61"/>
  <c r="M31" i="61"/>
  <c r="D38" i="62" l="1"/>
  <c r="D31" i="61"/>
  <c r="V11" i="17" l="1"/>
  <c r="M11" i="17"/>
  <c r="M23" i="17" s="1"/>
  <c r="M25" i="17" s="1"/>
  <c r="K11" i="17"/>
  <c r="K23" i="17" s="1"/>
  <c r="K25" i="17" s="1"/>
  <c r="R11" i="17" l="1"/>
  <c r="R23" i="17" s="1"/>
  <c r="R25" i="17" s="1"/>
  <c r="E10" i="15" l="1"/>
  <c r="E25" i="15" s="1"/>
  <c r="E30" i="15" s="1"/>
  <c r="F10" i="15"/>
  <c r="M10" i="13"/>
  <c r="M26" i="13" s="1"/>
  <c r="N10" i="13"/>
  <c r="N26" i="13" s="1"/>
  <c r="O10" i="13"/>
  <c r="K10" i="13"/>
  <c r="K26" i="13" s="1"/>
  <c r="K34" i="13" s="1"/>
  <c r="F25" i="15" l="1"/>
  <c r="F30" i="15" s="1"/>
  <c r="O26" i="13"/>
  <c r="N34" i="13"/>
  <c r="L34" i="13"/>
  <c r="D9" i="56"/>
  <c r="D22" i="56" s="1"/>
  <c r="O34" i="13" l="1"/>
  <c r="M34" i="13"/>
  <c r="V23" i="17"/>
  <c r="V25" i="17" s="1"/>
  <c r="P11" i="17"/>
  <c r="P23" i="17" s="1"/>
  <c r="P25" i="17" s="1"/>
  <c r="Q11" i="17"/>
  <c r="Q23" i="17" s="1"/>
  <c r="Q25" i="17" s="1"/>
  <c r="F11" i="17" l="1"/>
  <c r="F23" i="17" s="1"/>
  <c r="F25" i="17" s="1"/>
  <c r="E11" i="17" l="1"/>
  <c r="E23" i="17" s="1"/>
  <c r="E25" i="17" s="1"/>
  <c r="G11" i="17"/>
  <c r="G23" i="17" s="1"/>
  <c r="G25" i="17" s="1"/>
  <c r="D11" i="17"/>
  <c r="Q10" i="13" l="1"/>
  <c r="J10" i="13"/>
  <c r="J26" i="13" s="1"/>
  <c r="I10" i="13"/>
  <c r="I26" i="13" s="1"/>
  <c r="Q26" i="13" l="1"/>
  <c r="Q34" i="13" s="1"/>
  <c r="I34" i="13"/>
  <c r="J34" i="13"/>
  <c r="O22" i="12"/>
  <c r="O12" i="12"/>
  <c r="N22" i="12"/>
  <c r="N12" i="12"/>
  <c r="M22" i="12"/>
  <c r="M12" i="12"/>
  <c r="M27" i="12" l="1"/>
  <c r="M32" i="12" s="1"/>
  <c r="O27" i="12"/>
  <c r="O32" i="12" s="1"/>
  <c r="N27" i="12"/>
  <c r="N32" i="12" s="1"/>
  <c r="F26" i="21" l="1"/>
  <c r="C20" i="24" l="1"/>
  <c r="Y11" i="17" l="1"/>
  <c r="O9" i="56" l="1"/>
  <c r="O22" i="56" s="1"/>
  <c r="L22" i="56"/>
  <c r="D10" i="15" l="1"/>
  <c r="D25" i="15" l="1"/>
  <c r="D30" i="15" s="1"/>
  <c r="C32" i="24"/>
  <c r="C9" i="56" l="1"/>
  <c r="E9" i="56" l="1"/>
  <c r="F9" i="56"/>
  <c r="I9" i="56"/>
  <c r="J9" i="56"/>
  <c r="K9" i="56"/>
  <c r="P9" i="56"/>
  <c r="H10" i="15" l="1"/>
  <c r="H25" i="15" s="1"/>
  <c r="H12" i="12" l="1"/>
  <c r="X11" i="17" l="1"/>
  <c r="AB11" i="17" l="1"/>
  <c r="I22" i="56" l="1"/>
  <c r="N22" i="56"/>
  <c r="J22" i="56"/>
  <c r="E22" i="56" l="1"/>
  <c r="K22" i="56"/>
  <c r="F22" i="56"/>
  <c r="P22" i="56"/>
  <c r="D10" i="21" l="1"/>
  <c r="D26" i="21" s="1"/>
  <c r="Y23" i="17" l="1"/>
  <c r="Y25" i="17" s="1"/>
  <c r="W11" i="17" l="1"/>
  <c r="W23" i="17" s="1"/>
  <c r="W25" i="17" s="1"/>
  <c r="C10" i="16" l="1"/>
  <c r="L11" i="17"/>
  <c r="L23" i="17" s="1"/>
  <c r="L25" i="17" s="1"/>
  <c r="G10" i="21"/>
  <c r="G26" i="21" s="1"/>
  <c r="F10" i="13"/>
  <c r="F26" i="13" s="1"/>
  <c r="G10" i="13"/>
  <c r="G26" i="13" s="1"/>
  <c r="C10" i="21"/>
  <c r="C26" i="21" s="1"/>
  <c r="X23" i="17"/>
  <c r="D23" i="17"/>
  <c r="D25" i="17" s="1"/>
  <c r="E10" i="16"/>
  <c r="J12" i="12"/>
  <c r="I12" i="12"/>
  <c r="G12" i="12"/>
  <c r="F12" i="12"/>
  <c r="D12" i="12"/>
  <c r="C11" i="29"/>
  <c r="C24" i="29" s="1"/>
  <c r="E10" i="21"/>
  <c r="E26" i="21" s="1"/>
  <c r="H10" i="21"/>
  <c r="H26" i="21" s="1"/>
  <c r="C11" i="17"/>
  <c r="C23" i="17" s="1"/>
  <c r="C20" i="16"/>
  <c r="H30" i="15"/>
  <c r="E10" i="13"/>
  <c r="E26" i="13" s="1"/>
  <c r="H10" i="13"/>
  <c r="H26" i="13" s="1"/>
  <c r="E12" i="12"/>
  <c r="E22" i="12"/>
  <c r="F22" i="12"/>
  <c r="G22" i="12"/>
  <c r="H22" i="12"/>
  <c r="H27" i="12" s="1"/>
  <c r="H32" i="12" s="1"/>
  <c r="I22" i="12"/>
  <c r="J22" i="12"/>
  <c r="AB23" i="17"/>
  <c r="AB25" i="17" s="1"/>
  <c r="C22" i="12" l="1"/>
  <c r="C27" i="12" s="1"/>
  <c r="C32" i="12" s="1"/>
  <c r="C25" i="17"/>
  <c r="X25" i="17"/>
  <c r="G27" i="12"/>
  <c r="G32" i="12" s="1"/>
  <c r="D27" i="12"/>
  <c r="D32" i="12" s="1"/>
  <c r="F27" i="12"/>
  <c r="F32" i="12" s="1"/>
  <c r="C25" i="16"/>
  <c r="I27" i="12"/>
  <c r="I32" i="12" s="1"/>
  <c r="J27" i="12"/>
  <c r="J32" i="12" s="1"/>
  <c r="E27" i="12"/>
  <c r="E32" i="12" s="1"/>
  <c r="H34" i="13" l="1"/>
  <c r="F34" i="13"/>
  <c r="C29" i="16"/>
  <c r="D34" i="13"/>
  <c r="E34" i="13"/>
  <c r="G34" i="13"/>
  <c r="C34" i="13"/>
  <c r="E25" i="16" l="1"/>
  <c r="E29" i="16" l="1"/>
  <c r="C22" i="56"/>
</calcChain>
</file>

<file path=xl/sharedStrings.xml><?xml version="1.0" encoding="utf-8"?>
<sst xmlns="http://schemas.openxmlformats.org/spreadsheetml/2006/main" count="1556" uniqueCount="803">
  <si>
    <t>PAMATBUDŽETS</t>
  </si>
  <si>
    <t>Cīrulītis</t>
  </si>
  <si>
    <t>Dzīpariņš</t>
  </si>
  <si>
    <t>Zelta sietiņš</t>
  </si>
  <si>
    <t>Saulīte</t>
  </si>
  <si>
    <t>Ābelīte</t>
  </si>
  <si>
    <t>Strautiņš</t>
  </si>
  <si>
    <t>Kods</t>
  </si>
  <si>
    <t>Ieņēmumi</t>
  </si>
  <si>
    <t>Ārvalstu finanšu palīdzība</t>
  </si>
  <si>
    <t>Izdevumi</t>
  </si>
  <si>
    <t>Darba samaksa</t>
  </si>
  <si>
    <t>Darba devēja valsts sociālās apdrošināšanas obligātās iemaksas, sociālā rakstura pabalsti un kompensācija</t>
  </si>
  <si>
    <t>Preces un pakalpojumi</t>
  </si>
  <si>
    <t>Komandējumi un dienesta braucieni</t>
  </si>
  <si>
    <t>Pakalpojumi</t>
  </si>
  <si>
    <t>Krājumi,materiāli,energoresursi,prece,biroja preces un inventārs, ko neuzskaita  5000. kodā</t>
  </si>
  <si>
    <t>Budžeta iestāžu nodokļu maksājumi</t>
  </si>
  <si>
    <t>Subsīdijas komersantiem, sabiedriskajām org. un citām institūcijām</t>
  </si>
  <si>
    <t>Procentu maksājumi iekšzemes kredītiestādēm</t>
  </si>
  <si>
    <t xml:space="preserve">Pārējie procentu maksājumi </t>
  </si>
  <si>
    <t>Pašvaldību bužetu procentu maksājumi Valsts Kasei</t>
  </si>
  <si>
    <t>Nemateriālie ieguldījumi</t>
  </si>
  <si>
    <t>Pamatlīdzekļi</t>
  </si>
  <si>
    <t xml:space="preserve">Sociālie pabalsti naudā </t>
  </si>
  <si>
    <t>Pašvaldību budžeta kārtējo izdevumu transferti</t>
  </si>
  <si>
    <t xml:space="preserve"> IZDEVUMI KOPĀ</t>
  </si>
  <si>
    <t>Ogres 1.vidussk.</t>
  </si>
  <si>
    <t>Ogresgala pamatsk.</t>
  </si>
  <si>
    <t>Pasākums</t>
  </si>
  <si>
    <t>Kopā:</t>
  </si>
  <si>
    <t>Elektrības patēriņam</t>
  </si>
  <si>
    <t>Kopā</t>
  </si>
  <si>
    <t>Pašvaldības policija</t>
  </si>
  <si>
    <t>Soc. dienests</t>
  </si>
  <si>
    <t>Soc. pabalsti</t>
  </si>
  <si>
    <t>Ieņēmumi - KOPĀ</t>
  </si>
  <si>
    <t>Dotācija no VB</t>
  </si>
  <si>
    <t>S.Velberga</t>
  </si>
  <si>
    <t>Dzīvnieku patversmes uzturēšana</t>
  </si>
  <si>
    <t>01.720</t>
  </si>
  <si>
    <t>Parādu darījumi</t>
  </si>
  <si>
    <t xml:space="preserve">   Izdevuma pozīcijas nosaukums             </t>
  </si>
  <si>
    <t>Pārvietojamo tualešu uzturēšana</t>
  </si>
  <si>
    <t>Mērķdotācijas</t>
  </si>
  <si>
    <t xml:space="preserve">Ogres novada pašvaldības sabiedriskās kārtības un drošības izdevumu tāme pēc </t>
  </si>
  <si>
    <t xml:space="preserve">Ogres novada pašvaldības sociālās aizsardzības izdevumu tāmes pēc </t>
  </si>
  <si>
    <t xml:space="preserve">KOPĀ </t>
  </si>
  <si>
    <t>Izpildvara</t>
  </si>
  <si>
    <t xml:space="preserve">Ogres novada pašvaldības vispārējo valdības dienestu izdevumu tāme pēc </t>
  </si>
  <si>
    <t>Struktūrvienības klasifikācijas kods 01.000</t>
  </si>
  <si>
    <t>Ogres novada Sporta attīstības komisija</t>
  </si>
  <si>
    <t>frisbijs</t>
  </si>
  <si>
    <t xml:space="preserve">Sociālie pabalsti </t>
  </si>
  <si>
    <t>Sociālie pabalsti natūrā</t>
  </si>
  <si>
    <t>Izdevumi periodikas iegādie</t>
  </si>
  <si>
    <t>Izdevumi periodikas iegādei</t>
  </si>
  <si>
    <t>Mērķdotācijas 5-6 gadīgo apmācībai</t>
  </si>
  <si>
    <t>Mērķdotācijas interešu izgl.</t>
  </si>
  <si>
    <t>Būvvalde</t>
  </si>
  <si>
    <t>Dotācija pedagogiem</t>
  </si>
  <si>
    <t>hokejs</t>
  </si>
  <si>
    <t>Saņemtie projektu līdzekļi</t>
  </si>
  <si>
    <t>Video novēroš.</t>
  </si>
  <si>
    <t>handbols</t>
  </si>
  <si>
    <t>novuss</t>
  </si>
  <si>
    <t>Atbalsts bezdarba gadījumā</t>
  </si>
  <si>
    <t>Sporta pasākumi</t>
  </si>
  <si>
    <t>Riekstiņš</t>
  </si>
  <si>
    <t>florbols</t>
  </si>
  <si>
    <t>Pārējie maksājumi iedzīvotājiem natūrā un kompensācijas</t>
  </si>
  <si>
    <t>Ogres sākumsk.</t>
  </si>
  <si>
    <t>Aprūpes pakalpojumi</t>
  </si>
  <si>
    <t>08.1001</t>
  </si>
  <si>
    <t>08.2202</t>
  </si>
  <si>
    <t>08.29002</t>
  </si>
  <si>
    <t>10.70001</t>
  </si>
  <si>
    <t>10.70002</t>
  </si>
  <si>
    <t>08.210</t>
  </si>
  <si>
    <t>09.21901</t>
  </si>
  <si>
    <t>09.21902</t>
  </si>
  <si>
    <t>09.21903</t>
  </si>
  <si>
    <t>09.21904</t>
  </si>
  <si>
    <t>09.10002</t>
  </si>
  <si>
    <t>09.10003</t>
  </si>
  <si>
    <t>09.10004</t>
  </si>
  <si>
    <t>09.10005</t>
  </si>
  <si>
    <t>09.10006</t>
  </si>
  <si>
    <t>09.10007</t>
  </si>
  <si>
    <t>09.10008</t>
  </si>
  <si>
    <t>09.5101</t>
  </si>
  <si>
    <t>09.5102</t>
  </si>
  <si>
    <t>06.60009</t>
  </si>
  <si>
    <t>Dotāc. Komers.,biedrībām un nodibinājumiem</t>
  </si>
  <si>
    <t>BK Ogre</t>
  </si>
  <si>
    <t>vieglatlētika</t>
  </si>
  <si>
    <t>dažādi</t>
  </si>
  <si>
    <t>Raivo Kivlenieks</t>
  </si>
  <si>
    <t>Andris Kivlenieks</t>
  </si>
  <si>
    <t>Ogres Valsts ģimnāzija</t>
  </si>
  <si>
    <t xml:space="preserve">Struktūrvienības klasifikācijas kods  09.100  </t>
  </si>
  <si>
    <t>Strūklakas uzturēšana</t>
  </si>
  <si>
    <t>orientēšanās</t>
  </si>
  <si>
    <t>basketbols</t>
  </si>
  <si>
    <t>autokross</t>
  </si>
  <si>
    <t xml:space="preserve">Ogres novada pašvaldības PII iestāžu izdevumu tāmes pēc </t>
  </si>
  <si>
    <t xml:space="preserve">Ogres novada pašvaldības vidusskolu un pamatskolu izdevumu tāme pēc </t>
  </si>
  <si>
    <t xml:space="preserve">Ogres novada pašvaldības Interešu un profesionālās ievirzes izglītības iestāžu izdevumu tāme pēc </t>
  </si>
  <si>
    <t xml:space="preserve">Struktūrvienības klasifikācijas kods </t>
  </si>
  <si>
    <t xml:space="preserve">Ogres novada pašvaldības kultūras iestāžu izdevumu tāme pēc </t>
  </si>
  <si>
    <t>Civilās drošības dien.</t>
  </si>
  <si>
    <t>Koplietošanas telpu elektropatēriņa izmaksas soc.mājās</t>
  </si>
  <si>
    <t>Izmaksas (EUR)</t>
  </si>
  <si>
    <t>( EUR)</t>
  </si>
  <si>
    <t>iedalīts sabiedr.organizācijām</t>
  </si>
  <si>
    <t>Informatīvi pasākumi uzņēmējiem</t>
  </si>
  <si>
    <t>Starptautiskā sadarbība</t>
  </si>
  <si>
    <t>Pašvaldību kapitālo izdevumu transferti uz valsts budžetu</t>
  </si>
  <si>
    <t>HK Ogre</t>
  </si>
  <si>
    <t>karatē</t>
  </si>
  <si>
    <t>06.6002 Plānotais budžets siltumapgādei.</t>
  </si>
  <si>
    <t>Nekustamā īpašuma Rietumu ielā 1 iegādei</t>
  </si>
  <si>
    <t>Kompensācijas, kuras izmaksā personām, pamatojoties uz tiesas nolēmumiem</t>
  </si>
  <si>
    <t>Budžeta nod. vadītāja:</t>
  </si>
  <si>
    <t xml:space="preserve">Kopā Invalību biedrībai </t>
  </si>
  <si>
    <t>Vēstures, mākslas muzejs</t>
  </si>
  <si>
    <t>Pilsētas dekorēš. svētkiem</t>
  </si>
  <si>
    <t>Informat. izdevumi</t>
  </si>
  <si>
    <t>Jaunogres vidussk.</t>
  </si>
  <si>
    <t>Budžeta nodaļas vadītāja:</t>
  </si>
  <si>
    <t>IZPILDE 2015.GADS</t>
  </si>
  <si>
    <t>Nr.</t>
  </si>
  <si>
    <t>Funkcijas nosaukums</t>
  </si>
  <si>
    <t xml:space="preserve">Pilsētas teritoriju sanitārā apkope </t>
  </si>
  <si>
    <t>Autobusu pieturu un soliņu remonti</t>
  </si>
  <si>
    <t>Koku un krūmu kopšana, zāģēšana, izciršana, izvešana</t>
  </si>
  <si>
    <t>Bērnu rotaļu laukumu labiekārtošana, aprīkojuma apkope</t>
  </si>
  <si>
    <t>Labiekārtošanas darbi  Ogresgala pagastā - pļaušana, apstādījumu kopšana</t>
  </si>
  <si>
    <t>Pilsētas apzaļumošana</t>
  </si>
  <si>
    <t>Sociālo funkciju realizācijai soc.mājās</t>
  </si>
  <si>
    <t>Sociālo māju remontdarbi</t>
  </si>
  <si>
    <t>Pašvaldības dzīvokļu remonts</t>
  </si>
  <si>
    <t>Pilsētas lietus kanalizācijas ekspluatācija un remonts</t>
  </si>
  <si>
    <t>Polderu sūknētavas ekspluatācija</t>
  </si>
  <si>
    <t>Peldošas platformas un konstruktīvo materiālu uzstādīšana un demontāža Krasta ielas promenādē</t>
  </si>
  <si>
    <t>Ielu apgaismojuma izmaksas Indrānu ielā</t>
  </si>
  <si>
    <t>Pārsūknēšanas stacijas Ogre-3 elektroenerģijas izmaksas</t>
  </si>
  <si>
    <t>Apkure un īre pašvaldības tukšajos dzīvokļos</t>
  </si>
  <si>
    <t>Ceļazīmju, ielu nosaukumu zīmju un aizsargbarjeru uzstādīšana un uzturēšana</t>
  </si>
  <si>
    <t>Pārņemto domes komunālās nodaļas funkciju realizācija</t>
  </si>
  <si>
    <t>Kapu uzturēšana</t>
  </si>
  <si>
    <t>Finansējums skolām un pašvaldības iestādēm par baseinu</t>
  </si>
  <si>
    <t>Finansējums atlaidēm par baseinu un sporta klubam Ogre</t>
  </si>
  <si>
    <t>Finansējums Meža 9 uzturēšanai</t>
  </si>
  <si>
    <t>Finasējums  remontam</t>
  </si>
  <si>
    <t>05.1007</t>
  </si>
  <si>
    <t>Koncesija atkritumu apsaimniekošana</t>
  </si>
  <si>
    <t>09.82030</t>
  </si>
  <si>
    <t xml:space="preserve">Ogres novada pašvaldības Interešu un profesionālās ievirzes izglītības iestāžu izdevumu </t>
  </si>
  <si>
    <r>
      <t xml:space="preserve">Struktūrvienības klasifikācijas kods </t>
    </r>
    <r>
      <rPr>
        <b/>
        <sz val="12"/>
        <rFont val="Arial"/>
        <family val="2"/>
        <charset val="186"/>
      </rPr>
      <t/>
    </r>
  </si>
  <si>
    <t>10.70015</t>
  </si>
  <si>
    <t>04.11101 Uzņēmējdarbības  attīstības veicināšanai</t>
  </si>
  <si>
    <t>Skolēnu vasaras darbs</t>
  </si>
  <si>
    <t>Elektro pieslēgumu ierīkošanai</t>
  </si>
  <si>
    <t>08.29001</t>
  </si>
  <si>
    <t>Kultūras aktivitātes</t>
  </si>
  <si>
    <t>Kultūras aktivitātes   08.29001</t>
  </si>
  <si>
    <t>Aktivitāte</t>
  </si>
  <si>
    <t>Summa (EUR)</t>
  </si>
  <si>
    <t>EKK</t>
  </si>
  <si>
    <t>Sabiedrisko organizāciju pasākumu organizēšanai</t>
  </si>
  <si>
    <t>Ziemassvētku paciņas sabiedriskajām organizācijām</t>
  </si>
  <si>
    <t xml:space="preserve">Pārējo kultūras pasākumu atbalstam </t>
  </si>
  <si>
    <t>10.70003</t>
  </si>
  <si>
    <t>Soc. dienesta asistentu pakalpojumi</t>
  </si>
  <si>
    <t>Nakts patversmes uzturēšana Mālkalnes pr.30</t>
  </si>
  <si>
    <t>PAVISAM KOPĀ</t>
  </si>
  <si>
    <t>KOPĀ</t>
  </si>
  <si>
    <t xml:space="preserve">                                              Līdzekļu atlikums uz gada sākumu</t>
  </si>
  <si>
    <t>Dotācija no visp. ieņēm.(pašv.līdzf.)</t>
  </si>
  <si>
    <t xml:space="preserve">                                                                                                        Līdzekļi pavisam ar  atlikumu</t>
  </si>
  <si>
    <t>Grāmatas un periodiskie izdevumi</t>
  </si>
  <si>
    <t>Dotācijas biedrībām un nodibinājumiem</t>
  </si>
  <si>
    <t>Pašvaldību uzturēšanas izdevumu transferti uz valsts budžetu</t>
  </si>
  <si>
    <t>07.4501</t>
  </si>
  <si>
    <t>SAM 9.2.4.2. Pasākumi vietējās sabiedrības slimību profilaksei un veselības veicināšanai</t>
  </si>
  <si>
    <t xml:space="preserve">ES Projekta finansējums </t>
  </si>
  <si>
    <t>Kopā "Aspazija"</t>
  </si>
  <si>
    <t>09.8101</t>
  </si>
  <si>
    <t>08.3301</t>
  </si>
  <si>
    <t>03.1101</t>
  </si>
  <si>
    <t>03.2001</t>
  </si>
  <si>
    <t>03.6001</t>
  </si>
  <si>
    <t>10.5001</t>
  </si>
  <si>
    <t>01.1001</t>
  </si>
  <si>
    <t>01.83011</t>
  </si>
  <si>
    <t>01.8901</t>
  </si>
  <si>
    <t>04.4301</t>
  </si>
  <si>
    <t>04.11102</t>
  </si>
  <si>
    <t>04.11103</t>
  </si>
  <si>
    <t>Ralfs Prancāns</t>
  </si>
  <si>
    <t>10.70006</t>
  </si>
  <si>
    <t>08.29007</t>
  </si>
  <si>
    <t>Papildus aktivitātes  Ogres novada pašvaldības iestādēs (vasaras nometnes)</t>
  </si>
  <si>
    <t>01.8201</t>
  </si>
  <si>
    <t>Vispārēja rakstura transferti no pašvaldību budžeta valsts budžetam</t>
  </si>
  <si>
    <t>09.82001</t>
  </si>
  <si>
    <t>09.82039</t>
  </si>
  <si>
    <t>Zaudējumi no valūtas kursa svārstībām</t>
  </si>
  <si>
    <t>Mērķdotācijas tautas kolektīvu vad.</t>
  </si>
  <si>
    <t>Austris Brazevičs</t>
  </si>
  <si>
    <t>Plāns</t>
  </si>
  <si>
    <t>Ogres novadnieka karte</t>
  </si>
  <si>
    <t>Finansējums asistenta pakalpojumiem</t>
  </si>
  <si>
    <t>03.6002</t>
  </si>
  <si>
    <t>Atskurbtuves pakalpojumiem</t>
  </si>
  <si>
    <t>04.11116</t>
  </si>
  <si>
    <t xml:space="preserve">Ogres pensionāru biedrībai - darbības atbalstam   </t>
  </si>
  <si>
    <t xml:space="preserve">Latvijas neredzīgo biedrība - darbības atbalstam   </t>
  </si>
  <si>
    <t xml:space="preserve">Inval. Biedr.inventāra, aparatūras rem. </t>
  </si>
  <si>
    <t>Rokdarbu izstādes organizēšanai</t>
  </si>
  <si>
    <t xml:space="preserve">Latvijas sieviešu invalīdu apvienība "Aspazija" - 3 interaktīvu pasākumu daļējai finansēšanai </t>
  </si>
  <si>
    <t>KOPĀ sabiedriskām organizācijām EKK 3200</t>
  </si>
  <si>
    <t xml:space="preserve">Represētajiem finansiāls pabalsts 18. novembrī </t>
  </si>
  <si>
    <t>Inval. Biedr. balvu ieg. sporta spēļu uzvar.</t>
  </si>
  <si>
    <t xml:space="preserve">Inval. Biedr. kancelejas precēm </t>
  </si>
  <si>
    <t>01.6001</t>
  </si>
  <si>
    <t>Vēlēšanu komisija</t>
  </si>
  <si>
    <t xml:space="preserve">Izdevumi ceļu malu zāles pļaušanai  Ogresgala pagastā                                             </t>
  </si>
  <si>
    <t>Finansējums peldbaseinam "Neptūns"</t>
  </si>
  <si>
    <t>Garāžu noma</t>
  </si>
  <si>
    <t>Ielu apgaismojuma rekonstrukcijas darbiem saskaņā ar Latvenergo plānotajiem remontiem</t>
  </si>
  <si>
    <t>Ielu apgaismojuma remontiem</t>
  </si>
  <si>
    <t>Pasta, telefona un citu sakaru pakalpojumiem</t>
  </si>
  <si>
    <t>Kapu apgaismojumam</t>
  </si>
  <si>
    <t>Dekoratīvo krūmu, koku stādīšanai un atjaunošanai  pilsētā</t>
  </si>
  <si>
    <t>Karims Ali</t>
  </si>
  <si>
    <t>Artūrs Pastors</t>
  </si>
  <si>
    <t xml:space="preserve">Ogres novada pašvaldības Projektu ieņēmumu un izdevumu tāmes pēc </t>
  </si>
  <si>
    <t>08.4001</t>
  </si>
  <si>
    <t>10.70009</t>
  </si>
  <si>
    <t>Dotācija no visp. ieņēm.(pašv.finansējums)</t>
  </si>
  <si>
    <t>Nepieciešmais kredīts</t>
  </si>
  <si>
    <t>No iepriekšējā gada pārejošais kredīts</t>
  </si>
  <si>
    <t>08.29012</t>
  </si>
  <si>
    <t>10.70016</t>
  </si>
  <si>
    <t xml:space="preserve"> </t>
  </si>
  <si>
    <t>09.82002</t>
  </si>
  <si>
    <t>09.82003</t>
  </si>
  <si>
    <t>09.82010</t>
  </si>
  <si>
    <t>ES programma Izaugsme un nodarbinātībā, projekts "Proti un Dari" 8.3.3.0/15/I/001</t>
  </si>
  <si>
    <t>ES projekts "Deinstitucionalizācija un sociālie pakalpojumi personām ar invaliditāti un bērniem" 9.2.2.1/15/I/002</t>
  </si>
  <si>
    <t>(pašv.līdzf.)Dotācija no visp. ieņēm.</t>
  </si>
  <si>
    <t>Budžeta iestāžu nodokļu, nodevu un sankciju maksājumi</t>
  </si>
  <si>
    <t>04.7301</t>
  </si>
  <si>
    <t>06.60007</t>
  </si>
  <si>
    <t>06.60008</t>
  </si>
  <si>
    <t>07.4502</t>
  </si>
  <si>
    <t>08.3101</t>
  </si>
  <si>
    <t>09.10010</t>
  </si>
  <si>
    <t>Tūrisma informācijas centrs</t>
  </si>
  <si>
    <t>Īpaš. uzmērīš., reģistrēš. Zemesgrām.</t>
  </si>
  <si>
    <t>Pārējie izdev.</t>
  </si>
  <si>
    <t xml:space="preserve">     Veselības veicināšanas pasākumiem</t>
  </si>
  <si>
    <t>Televīzija</t>
  </si>
  <si>
    <t>Finans. bērniem, kuri apmeklē priv. PII</t>
  </si>
  <si>
    <t>Izglīt. papildus pakalpoj. PII ēdin.kompensāc.</t>
  </si>
  <si>
    <t>Izglīt. papildus pakalpoj.skolēnu pārvadāj.</t>
  </si>
  <si>
    <t>Mācību, darba un dienesta komandējumi, darba braucieni</t>
  </si>
  <si>
    <t>09.82032</t>
  </si>
  <si>
    <t>Ģimnāzijai reģionālā metod.centra un pedagogu tālākizglītības centra darbības nodrošin. visp. izgl. iest. pedagogiem</t>
  </si>
  <si>
    <t>Zelta un dimanta kāzu jubilāru pasākumu organizēšana</t>
  </si>
  <si>
    <t>Naudas balvas 100 gadu un vecākām Ogres novadā dekl.personām</t>
  </si>
  <si>
    <t>10.70010</t>
  </si>
  <si>
    <t>Biedrība "Baltā dūja"  (darbības nodrošināšanai)</t>
  </si>
  <si>
    <t>Rihards Bremze</t>
  </si>
  <si>
    <t>Nauris Neimanis</t>
  </si>
  <si>
    <t>Pēteris Preisis</t>
  </si>
  <si>
    <t xml:space="preserve">          Detalizēts sadalījums</t>
  </si>
  <si>
    <t>Pārējiem labiekārtošanas darbiem-neparedzētie</t>
  </si>
  <si>
    <t>Brīvības iela 18, Ogre (Zelta liepa) apdrošināšanas izmaksām</t>
  </si>
  <si>
    <t>Atkritumu izvešana no Ogres pilsētas teritorijām</t>
  </si>
  <si>
    <t>Pašvaldības līdzfinansējums asfaltēšanas darbiem dzīv.māju iekšpagalmos</t>
  </si>
  <si>
    <t>Brīvības ielas gājēju tuneļa pacēlāju apkalpošana</t>
  </si>
  <si>
    <t>Decentralizēto notekūdeņu uzskaites un kontroles nodrošināšana</t>
  </si>
  <si>
    <t>Ceļu, trotuāru un stāvlaukumu rekonstrukcijai</t>
  </si>
  <si>
    <t>Ceļu, trotuāru, stāvlaukumu un veloceliņu remontiem</t>
  </si>
  <si>
    <t>Ogres kapsētas "Smiltāju kapi" teritorijas stāvlaukuma un pievedceļa uzturēšanai</t>
  </si>
  <si>
    <t>04.510010 Autotransports (ceļu būvniecībai un remontiem)</t>
  </si>
  <si>
    <t>Mazv.inventāram, materiāliem</t>
  </si>
  <si>
    <t>Rekultivētās atkritumu izgāztuves apsaimniekošanai</t>
  </si>
  <si>
    <t>Meliorācijas sistēmu, ceļa grāvju un caurteku  ikdienas uzturēšanai</t>
  </si>
  <si>
    <t>Digitālas latas Palienes iela 4, iekārtu apkopei un datu apziņošanas sistēmas uzturēšanai</t>
  </si>
  <si>
    <t>Pilsētas mežu vides stāvokļa kontrolei (inventarizācija un atmežojamā meža plāna sastādīšana)</t>
  </si>
  <si>
    <t>Latvāņu ierobežošanas pasākumiem</t>
  </si>
  <si>
    <t>Plaužu ezera krasta niedru pļaušanai krasta līnijā (divas dienas, roku darbs)</t>
  </si>
  <si>
    <t>Plaužu ezera ekspluatācijas plāna izveidošanai</t>
  </si>
  <si>
    <t>Lobes ezera ekspluatācijas plāna izveidošanai</t>
  </si>
  <si>
    <t>Sugām bagātas ganības un ganītas pļavas un eitrofas augsto lakstaugu audzes pļaušanai vienu reizi gadā ar zāles novākšanu</t>
  </si>
  <si>
    <t xml:space="preserve">Ielu un ceļu ikdienas uzturēšanai un  maģistrālo ielu ikdienas uzturēšanai   (no mērķdotācijas)                                  </t>
  </si>
  <si>
    <t>Projektu pieteikumu izstrāde, tehniskās dokumentācijas sagatavošana, ekspertīzes, auditi</t>
  </si>
  <si>
    <t>06.60027</t>
  </si>
  <si>
    <t>06.60028</t>
  </si>
  <si>
    <t>18.630</t>
  </si>
  <si>
    <t>18.620</t>
  </si>
  <si>
    <t>21.100</t>
  </si>
  <si>
    <t>Izglītības pārvalde</t>
  </si>
  <si>
    <t>09.82048</t>
  </si>
  <si>
    <t>09.82049</t>
  </si>
  <si>
    <t>09.82050</t>
  </si>
  <si>
    <t>09.82051</t>
  </si>
  <si>
    <t>09.82052</t>
  </si>
  <si>
    <t>09.82053</t>
  </si>
  <si>
    <t>Erasmus programmas projekts Nr.2020-1-LV01-KA101-077352 Skolu mācību mobilitāte (ģimnāzija)</t>
  </si>
  <si>
    <t>Erasmus programmas projekts Nr.2020-1-IT02-KA229-079156 2, Skolas apmaiņas partnerība (Jaunogres vsk.)</t>
  </si>
  <si>
    <t>Finansējums veselības veicināšanas pasākumiem</t>
  </si>
  <si>
    <t>09.5107</t>
  </si>
  <si>
    <t>Naudas balvas</t>
  </si>
  <si>
    <t>Kompensācijas, kuras izmaksā personām, pamatojoties uz Latvijas tiesu nolēmumiem</t>
  </si>
  <si>
    <t>09.21912</t>
  </si>
  <si>
    <t>Finans. bērniem, kuri apmeklē priv. izglīt.iest.</t>
  </si>
  <si>
    <t>Ēdināšanas izdevumi skolās</t>
  </si>
  <si>
    <t xml:space="preserve">“Ūdensēzelīšu dienas Ogres novadā” četru dienu pasākumi pie Vecupes, Lobes, Pečoru un Plaužu ezeriem     </t>
  </si>
  <si>
    <t>Nekustamā īpašuma atsavināšana sabiedriskām vajadzībām - autotransportas tuneļa būvniecībai Upes prosp., 9, Ogrē</t>
  </si>
  <si>
    <t>Nedarbojošo, bojāto ūgunsdzēsības hidrantu nomaiņa Ogres pilsētā</t>
  </si>
  <si>
    <t>Grāmatas "Notikumi Ogres novadā" izdošanai</t>
  </si>
  <si>
    <t xml:space="preserve">Naudas balvas Zelta un dimanta kāzu jubilāriem </t>
  </si>
  <si>
    <t>Dāvanas mātēm - represētajām personām (Mātes dienā)</t>
  </si>
  <si>
    <t>Kapsētu informācijas digitalizācijai un datu pārvaldības sistēmas uzturēšanai</t>
  </si>
  <si>
    <t>Starptautiskā sporta meistara dambretē Aivara Remeša grāmatas par dambretes treneri R. Tomasu izdošanai atbalsts</t>
  </si>
  <si>
    <t>Ogres novada pašvaldības Attīstības programmas (2021.-2027.g.) izstrāde</t>
  </si>
  <si>
    <t>dotācija</t>
  </si>
  <si>
    <t>orientēsanās</t>
  </si>
  <si>
    <t>Marta Sīviņa</t>
  </si>
  <si>
    <t>Elīza Lemberga</t>
  </si>
  <si>
    <t>Una Krasta</t>
  </si>
  <si>
    <t>Valters Reneslācis</t>
  </si>
  <si>
    <t>Pašvaldības ielu apgaismojuma  iekārtu uzturēšanai un atbildīgais par iestāžu elektrosaimniecību</t>
  </si>
  <si>
    <t>Ogres pilsētas un Ogresgala pagasta ceļu remontiem paredzētie topogrāfiskie mērījumi</t>
  </si>
  <si>
    <t>Ogres pašvaldības ēkas Skolas ielā 12, Ogrē energoefektivitātes paaugstināšana izmantojot atjaunojamos energoresursus Projekta Nr. 4.2.2.0/20/I/009</t>
  </si>
  <si>
    <t>Greenways, Velo tūrisms</t>
  </si>
  <si>
    <t xml:space="preserve">8.1.2.SAM "Uzlabot vispārējās izglītības iestāžu mācību vidi Ogres novadā" </t>
  </si>
  <si>
    <t>ERAF "Pakalpojumu infrastruktūras attīstība deinstitualizācijas plānu īstenošanai" Nr. 9.3.1.1/19/I/017</t>
  </si>
  <si>
    <r>
      <t>Ogres novada pašvaldības</t>
    </r>
    <r>
      <rPr>
        <b/>
        <sz val="12"/>
        <rFont val="Arial"/>
        <family val="2"/>
      </rPr>
      <t xml:space="preserve"> Projektu</t>
    </r>
    <r>
      <rPr>
        <b/>
        <sz val="10"/>
        <rFont val="Arial"/>
        <family val="2"/>
      </rPr>
      <t xml:space="preserve"> ieņēmumu un izdevumu tāmes pēc </t>
    </r>
  </si>
  <si>
    <t>09.82057</t>
  </si>
  <si>
    <t>09.82058</t>
  </si>
  <si>
    <t>Karjeras atbalsts vispārējās un profesionālās izglītības iestādēs, 8.3.5.0/16/I/001</t>
  </si>
  <si>
    <t>Atbalsts priekšlaicīgas mācību pārtraukšanas samazināšanai, 8.3.4.0/16/I/001, PUMPURS</t>
  </si>
  <si>
    <t>Atbalsts izglītojamo idividuālo kompetenču attīstībai, 8.3.2.2/16/I/001</t>
  </si>
  <si>
    <t>Erasmus programmas projekts Nr.2020-1-PL01-KA229-081399 6,  Es izaicinu vecumu ar sparu (Ģimnāzija)</t>
  </si>
  <si>
    <t>Erasmus programmas projekts Nr.2020-1-TR01-KA229-093575 5, Atklāj patieso dzīvi (ģimnāzija)</t>
  </si>
  <si>
    <t>Erasmus programmas projekts Nr.2020-1-FR01-KA229-079905 2, Sagatavo mūs nākotnei (ģimnāzija)</t>
  </si>
  <si>
    <t>Erasmus programmas projekts Nr.2020-1-TR01-KA229-093837 4 (ģimnāzija)</t>
  </si>
  <si>
    <t>Erasmus programmas projekts Nr.2020-1-DE03-KA229-077592 6, Eiropas ilgtspējīgas un pietiekamības skola, (1.VSK.)</t>
  </si>
  <si>
    <t>Samaksa par aprūpi mājās</t>
  </si>
  <si>
    <t>06.60030</t>
  </si>
  <si>
    <t>05.30014</t>
  </si>
  <si>
    <t>Atbalsts NVO projektiem</t>
  </si>
  <si>
    <t>Sakrālā mantojuma konkurss</t>
  </si>
  <si>
    <t>Ogresgala pagasta pirmsskolas izglītības iestādes “Ābelīte” energoefektivitātes pasākumi (atjaunošana)</t>
  </si>
  <si>
    <t>05.30013</t>
  </si>
  <si>
    <t>Pielikums Pielikumam Nr.2</t>
  </si>
  <si>
    <t>Komunālie pakalpojumi pašvaldības īpašumos (Gaismas prospekts Nr. 2/6, Brīvības 44, Mālkalnes prospekts Nr. 10 u.c.)</t>
  </si>
  <si>
    <t>06.60031</t>
  </si>
  <si>
    <t>Projekts "Sugu un biotopu stāvokļa uzlabošanas pasākumi īpaši aizsargājamajā dabas teritorijā "Ogres ieleja""</t>
  </si>
  <si>
    <t>Finansējums pašvaldības iestāžu un sabiedrisko organizāciju uzturēšanas izdevumu segšanai</t>
  </si>
  <si>
    <t>06.60032</t>
  </si>
  <si>
    <t>Investīciju projekts "Inženierbūves atjaunošana" Zvaigžņu iela 11</t>
  </si>
  <si>
    <t>08.29026</t>
  </si>
  <si>
    <t>Ivestīciju projekts "Esošās ēkas rekonstrukcija Taurupes muižas klēts pārbūve"</t>
  </si>
  <si>
    <t>Atbalsts bērnu un jauniešu nometņu organizēšanai Ogres novada pašvaldības iestādēs</t>
  </si>
  <si>
    <t>svarcelšana</t>
  </si>
  <si>
    <t>Rīgas ielas 15, Ogre (Tautas nams) apdrošināšanas izmaksām</t>
  </si>
  <si>
    <t>Elvis Veinbergs</t>
  </si>
  <si>
    <t>Vienreizējā piemaksa Covid-19 laikā</t>
  </si>
  <si>
    <t>Individuālajām konsultācijām Covid-19 laikā</t>
  </si>
  <si>
    <t>Pārējie valsts budžeta uzturēšanas izdevumu transferti citiem budžetiem</t>
  </si>
  <si>
    <t>04.51041</t>
  </si>
  <si>
    <t>04.51042</t>
  </si>
  <si>
    <t>04.51043</t>
  </si>
  <si>
    <t>09.82064</t>
  </si>
  <si>
    <t>ekonomiskās klasifikācijas kodiem 2022. gadam</t>
  </si>
  <si>
    <t>2022.g. Plāns</t>
  </si>
  <si>
    <t>tāme pēc ekonomiskās klasifikācijas kodiem 2022. gadam</t>
  </si>
  <si>
    <t>Ikšķile</t>
  </si>
  <si>
    <t>2022.g.</t>
  </si>
  <si>
    <t>Ogres novada bāriņtiesa</t>
  </si>
  <si>
    <t>05.1001   2021. gada budžetā novada atkritumu apsaimniekošanas darbiem paredzēti līdzekļi</t>
  </si>
  <si>
    <t xml:space="preserve">05.2001  2021. gada budžetā notekūdeņu apsaimniekošanas  darbiem paredzēti līdzekļi no DR nod. </t>
  </si>
  <si>
    <t xml:space="preserve">05.4001   2021. gada budžetā bioloģiskās daudzveidības un ainavas aizsardzībai paredzēti līdzekļi no DR nod. </t>
  </si>
  <si>
    <t>Meža kopšanai novadā</t>
  </si>
  <si>
    <t>Ūdensanalīžu veikšanai novadā</t>
  </si>
  <si>
    <t>2022.g. budžets</t>
  </si>
  <si>
    <t>Koku ciršanai, vainagošanai, zaru apgriešanai novadā</t>
  </si>
  <si>
    <t>LED apgaismojuma gaismas bumbas Kalna prospekta rotācijas apļa apstādījumos ierīkošanai</t>
  </si>
  <si>
    <t xml:space="preserve">Puķu vāzes Upes prospektā laukumā pie katoļu baznīcas iekārtošanai </t>
  </si>
  <si>
    <t>Puķu vāzes Marsona  laukumā</t>
  </si>
  <si>
    <t>2022. g. Izmaksas (EUR)</t>
  </si>
  <si>
    <t xml:space="preserve">Lietus ūdens novadīšana ar zaļās infrastruktūras risinājumiem teritorijā pie Tomes Tautas nama  </t>
  </si>
  <si>
    <t>Interreg projekts “Latvijas-Igaunijas kopīgā militārā mantojuma tūrisma produkts” (projekta nr. Est-Lat156)</t>
  </si>
  <si>
    <t>Gaismiņa</t>
  </si>
  <si>
    <t>2022.g. budžets Ogre</t>
  </si>
  <si>
    <t>Stāvlaukumu uzturēšanai  Ogres pilsētā un Ogresgala pagastā   (2021. gada trīs līgumi)</t>
  </si>
  <si>
    <t xml:space="preserve">Tiltam Tilta ielā (pie bijušās pienotavas) Ogresgalā,  ekspertīze </t>
  </si>
  <si>
    <t>2022. g. Izmaksas (EUR) Ogre</t>
  </si>
  <si>
    <t>Mazvērtīgam inventāram Ogresgala pag.</t>
  </si>
  <si>
    <t>Birztaliņa</t>
  </si>
  <si>
    <t>Pūt vējiņi</t>
  </si>
  <si>
    <t>Urdaviņa</t>
  </si>
  <si>
    <t>Čiekuriņš</t>
  </si>
  <si>
    <t>ekonomiskās klasifikācijas kodiem 2022. gadam (EUR)</t>
  </si>
  <si>
    <t>Sūkņu stacijas būvniecība (Ogres vārti), Ogrē, Rīgas iela 45 (projektēšana, tehhniskā dokumentācija (ceļa audits u.c.))</t>
  </si>
  <si>
    <t>Jauniešu mājas Ogrē pārbūve (Būvniecība)</t>
  </si>
  <si>
    <t>Bākas uz mola būvniecība</t>
  </si>
  <si>
    <t>Konkurss mājokļa ārējās vides pielāgošanai personām ar kustību traucējumiem</t>
  </si>
  <si>
    <t>Aprīkojuma iegāde vides pieejamībai Ogres vecupei cilvēkiem ar īpašām vajadzībām</t>
  </si>
  <si>
    <t>Būvprojekta "Muzikālais teātris" izstrāde</t>
  </si>
  <si>
    <t>Lielvārdes parka un apkaimes attīstība (projektēšana)</t>
  </si>
  <si>
    <t>Atslēgu koks</t>
  </si>
  <si>
    <t xml:space="preserve">E.Kauliņa skulptūra, muzikālais soliņš </t>
  </si>
  <si>
    <t>Strēlnieku prospekta (no Dārza ielas līdz Jāņa Čakstes prospektam), Ogrē pārbūves būvprojekta izstrāde un autoruzraudzība</t>
  </si>
  <si>
    <r>
      <t>Rotācijas apļu, Ogrē izbūves b</t>
    </r>
    <r>
      <rPr>
        <sz val="10"/>
        <color rgb="FF000000"/>
        <rFont val="Times New Roman"/>
        <family val="1"/>
        <charset val="186"/>
      </rPr>
      <t xml:space="preserve">ūvprojekta izstrāde un autoruzraudzība </t>
    </r>
  </si>
  <si>
    <t>Skolas ielas (no Pirts ielas līdz Jaunogres prospektam), Ogrē pārbūves būvprojekta izstrāde un autoruzraudzība</t>
  </si>
  <si>
    <t>Āra trenažieru - sportistu iesildīšanās zonas Ogres stadionā izbūve, II kārta
(projektēšana + būvniecība)</t>
  </si>
  <si>
    <t>Madlienas ielas seguma atjaunošana un lietus ūdens kanalizācijas sistēmas izveide realizācijai + būvuzraudzība, autoruzraudzība(2022.gads)</t>
  </si>
  <si>
    <t>Lauberes ielas seguma atjaunošana un lietus ūdens kanalizācijas sistēmas izveide realizācijai + būvuzraudzība, autoruzraudzība (2022.gads)</t>
  </si>
  <si>
    <t>Bezdelīgu ielas seguma atjaunošana un lietus ūdens kanalizācijas sistēmas izveide realizācijai + būvuzraudzība, autoruzraudzība (2022.gads)</t>
  </si>
  <si>
    <t>"Dubkalnu ezeri" ceļa pārbūve</t>
  </si>
  <si>
    <t xml:space="preserve">Plāns </t>
  </si>
  <si>
    <t>Saņemtie projektu līdzekļi (VALSTS)</t>
  </si>
  <si>
    <t>07.4503</t>
  </si>
  <si>
    <t>07.4504</t>
  </si>
  <si>
    <t xml:space="preserve">ES projekta Nr.9.3.2.0/20/A/088 “Primārās veselības aprūpes infrastruktūras un materiāltehniskā nodrošinājuma uzlabošana Lielvārdes poliklīnikā, A.Kauliņas un L.Rancānes ārsta praksēs” </t>
  </si>
  <si>
    <t>Pakalpojumu infrastruktūras attīstība deinstitucionalizācijas plānu īstenošanai Vienošanās Nr. 9.3.1.1/19/I/023</t>
  </si>
  <si>
    <t>Biedrība "LUX VIRIDIA" pasākumam "Ie(spēja) 2022"</t>
  </si>
  <si>
    <t>Ikšķiles invalīdu biedrībai darbības atbalstam</t>
  </si>
  <si>
    <t>Ķeguma invalīdu biedrībai darbības atbalstam</t>
  </si>
  <si>
    <t>Biedrība OFK  - pasākumam OGRES FOTO DIENAS 2022</t>
  </si>
  <si>
    <t>Ķeguma bibliotēka</t>
  </si>
  <si>
    <t>Ogres Bibliotēka</t>
  </si>
  <si>
    <t>Birzgales bibliotēka</t>
  </si>
  <si>
    <t>Ķegums</t>
  </si>
  <si>
    <t>Ikšķiles vidusskola</t>
  </si>
  <si>
    <t>Ikšķiles bibliotēka</t>
  </si>
  <si>
    <t>Ikšķiles tautas nams</t>
  </si>
  <si>
    <t>Tīnūžu tautas nams</t>
  </si>
  <si>
    <t>04.730</t>
  </si>
  <si>
    <t>Kultūras mantojuma centrs "Tīnūžu muiža"</t>
  </si>
  <si>
    <t>Birzgales pamatskola</t>
  </si>
  <si>
    <t>E.Kauliņa Lielvārdes vidusskola</t>
  </si>
  <si>
    <t>Lielvārdes pamatskola</t>
  </si>
  <si>
    <t>Valdemāra pamatsk.</t>
  </si>
  <si>
    <t>Ķeguma tautas nams</t>
  </si>
  <si>
    <t>06.60006</t>
  </si>
  <si>
    <t>08.29011</t>
  </si>
  <si>
    <t>A.Pumpura Lielvārdes muzejs</t>
  </si>
  <si>
    <t>Lielvārdes kultūras centrs</t>
  </si>
  <si>
    <t>Projektu konkurss veidojam vidi ap mums</t>
  </si>
  <si>
    <t>Projektu konkurss RADI Ogres novadam</t>
  </si>
  <si>
    <t>Andreja Pumpura pieminekļa atjaunošana Birzgalē</t>
  </si>
  <si>
    <t>Ēkas Skolas ielā 4, Ikšķilē, energoefektivitātes uzlabošana un pārbūve par pašvaldības daudzfunkcionālu pakalpojumu centru</t>
  </si>
  <si>
    <t>Ēkas “Krievskola” kā tūrisma informācijas centra ar amatniecības darbnīcām ēkas būvniecība</t>
  </si>
  <si>
    <t>Kompleksu apsaimniekošanas pasākumu īstenošana NATURA 2000 teritorijā dabas parkā "Ogres ieleja"</t>
  </si>
  <si>
    <t>Madlienas tirgus būvniecība</t>
  </si>
  <si>
    <t>04.11101</t>
  </si>
  <si>
    <t>10.70017</t>
  </si>
  <si>
    <t>Valsts programma "Latvijas Skolas Soma"</t>
  </si>
  <si>
    <t>Bērnu un jauniešu nodarbinātības pasākumi vasaras brīvlaikā</t>
  </si>
  <si>
    <t>Ogres novada pašvaldības jaunatnes iniciatīvu projektu konkurss "Jauniešu iespējas"</t>
  </si>
  <si>
    <t>Sadarbībā ar Rīgas tehnisko universitāti, BJU interešu izglītības nodarbības un ekskursijas</t>
  </si>
  <si>
    <t>Erasmus programmas projekts Nr.2020-1-TR01-KA229-092959 4, Tīņi domātāji, (sākumskola)</t>
  </si>
  <si>
    <t>ERASMUS proj. Sociālā uzņēmējdarbība Eiropā 1.vsk.</t>
  </si>
  <si>
    <t>Erasmus+ 2020-2-LV02-KA347-003434 "The power of youth - Shaking the Present, Building the Future"</t>
  </si>
  <si>
    <t>Erasmus+ 2020-1-LV02-KA205-003145 "Cross-sectorial cooperation for reaching out to the youth"</t>
  </si>
  <si>
    <t>ES projektā “Ģimenes asistentu pakalpojuma aprobācija”, projekta Nr. 9.2.1.1/15/I/001)</t>
  </si>
  <si>
    <t>17.200</t>
  </si>
  <si>
    <t>Ogres novada pašvaldības deleģēto funkciju izpildes plāns 2022.gadā PA Ogres komunikācijas</t>
  </si>
  <si>
    <t>Plānots 2022.gadā</t>
  </si>
  <si>
    <t>A6 šosejas zaļās zonas pļaušana un zāles savākšana, izvešana (4xsezonā)</t>
  </si>
  <si>
    <t>Ogres novada pašvaldības deleģēto funkciju izpildes plāns 2022.gadā SIA Ogres namsaimnieks</t>
  </si>
  <si>
    <t xml:space="preserve">Ikšķiles pensionāru biedrībai - darbības atbalstam   </t>
  </si>
  <si>
    <t>Biedrība "Ikšķiles Senioru skola"darbības atbalstam</t>
  </si>
  <si>
    <t>Vēsturiskā pētījuma veikšanai "Ikšķiles ev.lut. baznīca no 16.gadsimta"</t>
  </si>
  <si>
    <t>1150/1210</t>
  </si>
  <si>
    <t xml:space="preserve"> ERASMUS+"A.L.C.H.M.I.A" PROJEKTS Nr.2020-1-FI01-KA227-SCH-092716 Lielvārdes Mūzikas un mākslas skola</t>
  </si>
  <si>
    <t>Valsts programmas projekta “Skolēns skolēnam” Nr. VP2021/5-26 (1.vsk.)</t>
  </si>
  <si>
    <t>09.82067</t>
  </si>
  <si>
    <t>Ēkas ''Viļņi" pārbūve Ķeipenē</t>
  </si>
  <si>
    <t>Veloceliņa uz Lielvārdi projektēšana</t>
  </si>
  <si>
    <t xml:space="preserve">Ikškiles brīvdabas skatuves jumta projektēšana </t>
  </si>
  <si>
    <t>09.82012</t>
  </si>
  <si>
    <t>09.82013</t>
  </si>
  <si>
    <t>Erasmus programmas projekts Nr.2019-1-ES01-KA229-064176-4 Edgara Kauliņa Lielvārdes vidusskola</t>
  </si>
  <si>
    <t>09.82014</t>
  </si>
  <si>
    <t>Erasmus programmas projekts Nr.2019-1-F101-KA229 060699 3, Skolu apmaiņas partnerība, Ikšķiles vidussk.</t>
  </si>
  <si>
    <t>09.82015</t>
  </si>
  <si>
    <t>Erasmus programmas projekts Nr.2020-1-LV01-KA229-077484-1, Get into the Green Scene Jumpravas pamatsk.</t>
  </si>
  <si>
    <t>09.82016</t>
  </si>
  <si>
    <t>Erasmus programmas projekts Nr.2020-1-AT01-KA229-078145-3, Our Password 21st Century Skills, Jumpravas pamatsk.</t>
  </si>
  <si>
    <t>09.82017</t>
  </si>
  <si>
    <t>Erasmus programmas projekts Nr.2020-1-PL01-KA229-081470-4, Peaceful Schools with Anger-free Classes, Jumpravas pamatsk.</t>
  </si>
  <si>
    <t>09.82018</t>
  </si>
  <si>
    <t>Erasmus programmas projekts Nr.2020-1-FR01-KA229-080395-3, Healthy Mind, Body and Environment, Jumpravas pamatsk.</t>
  </si>
  <si>
    <t>09.82019</t>
  </si>
  <si>
    <t>Erasmus programmas projekts Nr.2020-1-EE01-KA229-077961-4, See-Our Nature!, Jumpravas pamatsk.</t>
  </si>
  <si>
    <t>09.82020</t>
  </si>
  <si>
    <t>09.82021</t>
  </si>
  <si>
    <t>Erasmus programmas projekts "ALLready a Success to School Life" (Pilnībā gatavs veiksmei skolā) Nr.2018-1-TR01-KA201-059716.Sākumsk.</t>
  </si>
  <si>
    <t>09.82011</t>
  </si>
  <si>
    <t>Ķeguma komercnovirziena vidusskola</t>
  </si>
  <si>
    <t>Ogres Mūzikas un mākslas skola</t>
  </si>
  <si>
    <t>Lielvārdes Mūzikas un mākslas skola</t>
  </si>
  <si>
    <t>Ikšķiles Mūzikas un mākslas skola</t>
  </si>
  <si>
    <t>Birzgales mūzikas skola</t>
  </si>
  <si>
    <t>Ogres Sporta centrs</t>
  </si>
  <si>
    <t>Lielvārdes Sporta centrs</t>
  </si>
  <si>
    <t>Tīnūžu bibliotēka</t>
  </si>
  <si>
    <t>Birzgales tautas nams</t>
  </si>
  <si>
    <t>Rembates tautas nams</t>
  </si>
  <si>
    <t>Tomes tautas nams</t>
  </si>
  <si>
    <t>Birzgales muzejs Rūķi</t>
  </si>
  <si>
    <t xml:space="preserve">Ķeguma muzejs </t>
  </si>
  <si>
    <t>04.51045</t>
  </si>
  <si>
    <t>Dalībai SEB bankas organizētajā grantu programmā "(ie)dvesma"- 2021.gada grants</t>
  </si>
  <si>
    <t>09.10012</t>
  </si>
  <si>
    <t>09.10013</t>
  </si>
  <si>
    <t>09.10014</t>
  </si>
  <si>
    <t>09.10015</t>
  </si>
  <si>
    <t>09.10016</t>
  </si>
  <si>
    <t>09.21920</t>
  </si>
  <si>
    <t>09.21101</t>
  </si>
  <si>
    <t>09.21102</t>
  </si>
  <si>
    <t>09.21913</t>
  </si>
  <si>
    <t>09.21914</t>
  </si>
  <si>
    <t>09.21915</t>
  </si>
  <si>
    <t>09.21916</t>
  </si>
  <si>
    <t>09.21917</t>
  </si>
  <si>
    <t>09.21918</t>
  </si>
  <si>
    <t>09.21919</t>
  </si>
  <si>
    <t xml:space="preserve">Buklets "Jaunais Ogres novads" </t>
  </si>
  <si>
    <t>Reprezentācijas video par Ogres novadu</t>
  </si>
  <si>
    <t>Grāmata "Jaunais Ogres novads"</t>
  </si>
  <si>
    <t xml:space="preserve">Filma par Ogres novada pašvaldības sadarbību ar Latvijas augstskolām </t>
  </si>
  <si>
    <t>Starptautiskā Veco ļaužu diena Ogres novadā</t>
  </si>
  <si>
    <t xml:space="preserve">Svētku dievkalpojumu tiešraides (Lieldienās, 4. maijā, 18. novembrī, Ziemassvētkos) </t>
  </si>
  <si>
    <t>Dāvanas Ogres novada pašvaldības apbalvojumu saņēmējiem</t>
  </si>
  <si>
    <t>Svētku pasākumi ar Ogres novada pašvaldības un Latvijas Republikas apbalvojumiem apbalvotajām personām</t>
  </si>
  <si>
    <t xml:space="preserve">Kopā </t>
  </si>
  <si>
    <t>Dzintara Soduma literatūras balva</t>
  </si>
  <si>
    <t>Video sižeti par infrastruktūras projektiem novadā, par pašvaldības un iedzīvotāju kopienu sadarbību</t>
  </si>
  <si>
    <t>06.60036</t>
  </si>
  <si>
    <t>04.11104</t>
  </si>
  <si>
    <t>04.7304</t>
  </si>
  <si>
    <t>09.82024</t>
  </si>
  <si>
    <t>Jaunas VPII ēkas būvniecība pie Lielvārdes pamatskolas</t>
  </si>
  <si>
    <t>09.82022</t>
  </si>
  <si>
    <t>04.51047</t>
  </si>
  <si>
    <t>nov.</t>
  </si>
  <si>
    <t>Ielu apgaismojuma rekonstrukcijas darbiem saskaņā ar Lielvārdes noslēgtajiem līgumiem</t>
  </si>
  <si>
    <t>2 gados</t>
  </si>
  <si>
    <t>Kanalizācijas sūknētavas un spiedvada izbūve Doles ielas daudzdzīvokļu ēkām</t>
  </si>
  <si>
    <t>60% un 40%</t>
  </si>
  <si>
    <t>Jumpravas bibliotēka</t>
  </si>
  <si>
    <t>Lēdmanes bibliotēka</t>
  </si>
  <si>
    <t>Lielvārdes pilsētas, Lāčplēša bibliotēka</t>
  </si>
  <si>
    <t>2.gads</t>
  </si>
  <si>
    <t>50% un 50%</t>
  </si>
  <si>
    <t>08.29032</t>
  </si>
  <si>
    <t>04.51051</t>
  </si>
  <si>
    <t>04.51052</t>
  </si>
  <si>
    <t>04.51053</t>
  </si>
  <si>
    <t>04.51054</t>
  </si>
  <si>
    <t>04.51049</t>
  </si>
  <si>
    <t>04.51050</t>
  </si>
  <si>
    <t>08.29029</t>
  </si>
  <si>
    <t>08.29030</t>
  </si>
  <si>
    <t>05.30017</t>
  </si>
  <si>
    <t>04.11117</t>
  </si>
  <si>
    <t>08.29031</t>
  </si>
  <si>
    <t>06.60037</t>
  </si>
  <si>
    <t>Mērķdotācija pakalpojumam</t>
  </si>
  <si>
    <t>Multifunkcionāla aktīvās atpūtas un sporta laukuma projektēšana un 1. kārtas (pumptrack) būvniecība Ķegumā</t>
  </si>
  <si>
    <t>Birzgales pamatskolas sporta stadiona būvniecība+būvuzraudzība</t>
  </si>
  <si>
    <t>09.82065</t>
  </si>
  <si>
    <t xml:space="preserve">Projekts “Labbūtības ceļakartes aktivitāšu īstenošana Ogres novadā” īstenošanu </t>
  </si>
  <si>
    <t>Pašvaldības ielu apgaismojuma  iekārtu uzturēšanai Lielvārdē</t>
  </si>
  <si>
    <t>04.51055</t>
  </si>
  <si>
    <t>06.60038</t>
  </si>
  <si>
    <t>06.60039</t>
  </si>
  <si>
    <t>06.60040</t>
  </si>
  <si>
    <t>09.82068</t>
  </si>
  <si>
    <t>06.60041</t>
  </si>
  <si>
    <t>09.5108</t>
  </si>
  <si>
    <t>09.5109</t>
  </si>
  <si>
    <t>09.5110</t>
  </si>
  <si>
    <t>09.5103</t>
  </si>
  <si>
    <t>08.2105</t>
  </si>
  <si>
    <t>08.2106</t>
  </si>
  <si>
    <t>08.2107</t>
  </si>
  <si>
    <t>08.2108</t>
  </si>
  <si>
    <t>08.2109</t>
  </si>
  <si>
    <t>08.2103</t>
  </si>
  <si>
    <t>08.2104</t>
  </si>
  <si>
    <t>08.2205</t>
  </si>
  <si>
    <t>08.2206</t>
  </si>
  <si>
    <t>08.2207</t>
  </si>
  <si>
    <t>08.2304</t>
  </si>
  <si>
    <t>08.2305</t>
  </si>
  <si>
    <t>08.2306</t>
  </si>
  <si>
    <t>08.2307</t>
  </si>
  <si>
    <t>08.2308</t>
  </si>
  <si>
    <t>08.2309</t>
  </si>
  <si>
    <t>08.2310</t>
  </si>
  <si>
    <t>09.6201</t>
  </si>
  <si>
    <t>09.6101</t>
  </si>
  <si>
    <t>09.6202</t>
  </si>
  <si>
    <t>2022. gads</t>
  </si>
  <si>
    <t>kopā</t>
  </si>
  <si>
    <t>Ogres vilki</t>
  </si>
  <si>
    <t>OFK</t>
  </si>
  <si>
    <t>Ogre Juniors</t>
  </si>
  <si>
    <t>FK BJSAA</t>
  </si>
  <si>
    <t>futbols</t>
  </si>
  <si>
    <t>OK Ogre</t>
  </si>
  <si>
    <t>Karate-sene</t>
  </si>
  <si>
    <t>Ogres stils</t>
  </si>
  <si>
    <t>ziemeļu divcīņa</t>
  </si>
  <si>
    <t>Sk Ogre</t>
  </si>
  <si>
    <t>Slidotprieks</t>
  </si>
  <si>
    <t>daiļslidosana</t>
  </si>
  <si>
    <t>Ogre athletics</t>
  </si>
  <si>
    <t>Sk Skrējiens</t>
  </si>
  <si>
    <t>Nesēdi mājās</t>
  </si>
  <si>
    <t>velo</t>
  </si>
  <si>
    <t>SK Vilnis</t>
  </si>
  <si>
    <t>Ogres novada izlase</t>
  </si>
  <si>
    <t>skriešana</t>
  </si>
  <si>
    <t>Pasaules skolu čemp</t>
  </si>
  <si>
    <t>Dalība LV izlases sastāvā</t>
  </si>
  <si>
    <t>Olimpiskā vienība</t>
  </si>
  <si>
    <t>U23</t>
  </si>
  <si>
    <t>U24</t>
  </si>
  <si>
    <t>Lasma Padedze</t>
  </si>
  <si>
    <t>U25</t>
  </si>
  <si>
    <t>Luize Opolā</t>
  </si>
  <si>
    <t>U20</t>
  </si>
  <si>
    <t>Bruno Spūlis</t>
  </si>
  <si>
    <t>Matīss Gžibovskis</t>
  </si>
  <si>
    <t>U18</t>
  </si>
  <si>
    <t>Nils Meijers</t>
  </si>
  <si>
    <t>Andris Sarkšņa</t>
  </si>
  <si>
    <t>velo orient</t>
  </si>
  <si>
    <t>P</t>
  </si>
  <si>
    <t>Atis Vidovskis</t>
  </si>
  <si>
    <t>MTB velo</t>
  </si>
  <si>
    <t>Edgars Ābols</t>
  </si>
  <si>
    <t>airēsana</t>
  </si>
  <si>
    <t>Daniils Gulovs</t>
  </si>
  <si>
    <t>U16</t>
  </si>
  <si>
    <t>U14</t>
  </si>
  <si>
    <t>Daina Puiķe</t>
  </si>
  <si>
    <t>U22</t>
  </si>
  <si>
    <t>Ilze Ojere</t>
  </si>
  <si>
    <t>skeletons</t>
  </si>
  <si>
    <t>Par finasiālo atbalstu Ogres novada sporta klubiem 2022. gadam.</t>
  </si>
  <si>
    <t>Ogres novada pašvaldības 2022.gada sporta komandu/klubu budžets. 08.1002</t>
  </si>
  <si>
    <t>Ikšķiles pilsētas un Tīnūžu pagasta pārvalde</t>
  </si>
  <si>
    <t>Izdevumi par elektroenerģiju</t>
  </si>
  <si>
    <t>Transportlīdzekļu uzturēšana, remonts, noma</t>
  </si>
  <si>
    <t>Degviela</t>
  </si>
  <si>
    <t>Pārējie uzturēšanas materiāli</t>
  </si>
  <si>
    <t>Atalgojums</t>
  </si>
  <si>
    <t>Darba devēja VSAOI</t>
  </si>
  <si>
    <t>Kapitālie remonti, rekonstrukcijas</t>
  </si>
  <si>
    <t>Pludmales Zvanezers labiekārtošanai</t>
  </si>
  <si>
    <t>Mālkalnes prospektā 10 PII Bitīte priekšizpēte un projektēšana</t>
  </si>
  <si>
    <t>Saules prospekta, Ogrē pārbūves būvprojekta izstrāde,autoruzraudzība un būvniecība</t>
  </si>
  <si>
    <t>Projekta izstrāde Kaibalas skolas, Lielvārdes pag. pārbūvei un energoefektivitātes paaugstināšanai</t>
  </si>
  <si>
    <t>Budžeta nod. vadītāja:                                          S. Velberga</t>
  </si>
  <si>
    <t>S. Velberga</t>
  </si>
  <si>
    <t>06.60042</t>
  </si>
  <si>
    <t>Ietves izbūve Jāņa Čakstes prospekta posmā no Mazās Ķentes ielas līdz Skalbju ielai, Ogrē projektēšana un autoruzraudzība</t>
  </si>
  <si>
    <t>Sakoptākā lauku sēta Ogres novadā 2022, naudas balvām</t>
  </si>
  <si>
    <t>Sakoptākā lauku sēta Ogres novadā 2022, noslēguma pasākumam</t>
  </si>
  <si>
    <t>Pielikums pielikumam Nr. 2</t>
  </si>
  <si>
    <t>08.1002  Kopsumma EUR 527 727</t>
  </si>
  <si>
    <t>08.29027</t>
  </si>
  <si>
    <t>08.29028</t>
  </si>
  <si>
    <t>Ķeguma dienas centrs</t>
  </si>
  <si>
    <t>Tomes dienas centrs</t>
  </si>
  <si>
    <t>Kanalizācijas pieslēgumiem</t>
  </si>
  <si>
    <t>Teritoriju sakopšanai, atkritumu savākšanai</t>
  </si>
  <si>
    <t>Rekultivēta izgāztuve “Luņģi” pazemes ūdens pilnā analīze izgāztuvju monitoringam, gruntsūdeņu paraugu  ņemšana (no urbumiem)</t>
  </si>
  <si>
    <t>Ūdens kvalitātes analīzes četrās ūdenstilpnēs vasarā</t>
  </si>
  <si>
    <t>Grāvju tīrīšana, lietus kanalizāciju sistēmu uzturēšana</t>
  </si>
  <si>
    <t>09.510</t>
  </si>
  <si>
    <t>Finans. bērniem, kuri apmeklē priv. Interešu izglīt.iest.</t>
  </si>
  <si>
    <t>Ceļu būvniecībai un remontiem Ķegums (Tome un  Rembate) no mērķdotācijas</t>
  </si>
  <si>
    <t xml:space="preserve">Ceļu būvniecībai un remontiem Lielvārde </t>
  </si>
  <si>
    <t xml:space="preserve">Ceļu būvniecībai un remontiem Lielvārdes Lēdmanes pagasts </t>
  </si>
  <si>
    <t xml:space="preserve">Ceļu būvniecībai un remontiem Lielvārdes Jumpravas pagasts </t>
  </si>
  <si>
    <t xml:space="preserve">Ceļu būvniecībai un remontiem Ikšķile </t>
  </si>
  <si>
    <t>Lēdmanes pārvalde</t>
  </si>
  <si>
    <t>Lielvārdes pārvalde</t>
  </si>
  <si>
    <t>Birzgales pārvalde</t>
  </si>
  <si>
    <t>06.600122</t>
  </si>
  <si>
    <t>06.600123</t>
  </si>
  <si>
    <t>06.600124</t>
  </si>
  <si>
    <t>06.600125</t>
  </si>
  <si>
    <t>06.600126</t>
  </si>
  <si>
    <t>06.600127</t>
  </si>
  <si>
    <t>06.600128</t>
  </si>
  <si>
    <t>06.600129</t>
  </si>
  <si>
    <t>Tomes pārvalde</t>
  </si>
  <si>
    <t>Rembates pārvalde</t>
  </si>
  <si>
    <t>Ikšķiles pārvalde</t>
  </si>
  <si>
    <t>Ķeguma pārvalde</t>
  </si>
  <si>
    <t>SIA Ikšķiles māja finansējums domes deleģētofunkciju izpildei</t>
  </si>
  <si>
    <t>SIA Lielvārdes Remte  finansējums domes deleģētofunkciju izpildei</t>
  </si>
  <si>
    <t>SIA Ķeguma stars  finansējums domes deleģētofunkciju izpildei</t>
  </si>
  <si>
    <t>Lielvārdes pilsētas Rembates ielas, Stacijas ielas, Uzvaras ielas, Andreja Pumpura ielas un Meža un Avotu ielas posmu projektēšanai un pašvaldības līdzfinansējums būvniecībai</t>
  </si>
  <si>
    <t>Darba iespēja "Visiem"</t>
  </si>
  <si>
    <t>Sporta klubs "Lielvārde"</t>
  </si>
  <si>
    <t>Ikšķiles sporta biedrības</t>
  </si>
  <si>
    <t>FK Ķegums</t>
  </si>
  <si>
    <t>Green Horse</t>
  </si>
  <si>
    <t>jātnieku sports</t>
  </si>
  <si>
    <t>Oskars Dūdens</t>
  </si>
  <si>
    <t>motokross</t>
  </si>
  <si>
    <t>Aelita Krasiļščikova</t>
  </si>
  <si>
    <t xml:space="preserve">Vēju ielas seguma atjaunošana un lietus ūdens kanalizācijas sistēmas izveide būvprojekta izstrāde un autoruzraudzība </t>
  </si>
  <si>
    <t>06.4002 Plānotais budžets apgaismošanai</t>
  </si>
  <si>
    <t>05.30015; 05.30016  2022. gada budžetā Vides piesārņojuma novēršana un samazināšana</t>
  </si>
  <si>
    <t>10.70013</t>
  </si>
  <si>
    <t>Ķeguma novada SAC "Senliepas"</t>
  </si>
  <si>
    <t>07.2101</t>
  </si>
  <si>
    <t>Ģimenes ārsrta prakse Lielvārdē</t>
  </si>
  <si>
    <t>06.60034</t>
  </si>
  <si>
    <t>Sabiedrības līdzdalības projektu konkurss Jumpravā</t>
  </si>
  <si>
    <t xml:space="preserve">Lielvārdes pensionāru biedrībai - darbības atbalstam   </t>
  </si>
  <si>
    <t>Elektroenerģijas tirgus izpētei un uzraudzībai</t>
  </si>
  <si>
    <t xml:space="preserve">Ķeguma pensionāru biedrību - darbības atbalstam   </t>
  </si>
  <si>
    <t>Lielvārdes invalīdu biedrībai darbības atbalstam</t>
  </si>
  <si>
    <t xml:space="preserve">Ceļu būvniecībai un remontiem Ķeguma Birzgales pagasts </t>
  </si>
  <si>
    <t>Sporta veids</t>
  </si>
  <si>
    <t>dalības maksa, organiz., transp.</t>
  </si>
  <si>
    <t>Ikšķiles bērnu un jaunatnes tenisa skola</t>
  </si>
  <si>
    <t>teniss</t>
  </si>
  <si>
    <t>Bērnu un skolēnu SC Ikšķile</t>
  </si>
  <si>
    <t>daiļslidošana</t>
  </si>
  <si>
    <t>Kambīze</t>
  </si>
  <si>
    <t>ūdenssports</t>
  </si>
  <si>
    <t>Mājas lapa, foto, raksti</t>
  </si>
  <si>
    <t>Ogres ziņas</t>
  </si>
  <si>
    <t>Individuālie sporta veidi</t>
  </si>
  <si>
    <t>Sporta klubi, komandas</t>
  </si>
  <si>
    <t>Svarcelšanas klubs OGRE</t>
  </si>
  <si>
    <t>Skrējēju komanda</t>
  </si>
  <si>
    <t>Skolēnu izlases</t>
  </si>
  <si>
    <t>Sporta seniori</t>
  </si>
  <si>
    <t>Biedrība Osports</t>
  </si>
  <si>
    <t xml:space="preserve">Ogres novada pašvaldības teritoriju un mājokļu apsaimniekošanas iestāžu izdevumu tāme pēc </t>
  </si>
  <si>
    <t xml:space="preserve">Ogres novada pašvaldības iestāžu izdevumu tāmes pēc </t>
  </si>
  <si>
    <t>Struktūrvienības klasifikācijas kods</t>
  </si>
  <si>
    <t>Reklāmas stabu iegādei un uzstādīšanai</t>
  </si>
  <si>
    <t>Ciemupes peldētavas ierīkošanas apliecinājuma kartes izstrādei un  daļēja izbūvei</t>
  </si>
  <si>
    <t>Sētas un vārtu uzstādīšanai Ciemupes aktīvās atpūtas laukumam</t>
  </si>
  <si>
    <t>Brīvības ielas 2, Ogre nepieciešamība sabiedribas vajadzībām (pašvaldības funkcijai, muzeja ekspozīcijas izvietošanai)</t>
  </si>
  <si>
    <t>Brīvības ielas 107, Ogre, nepieciešamība sabiedrības vajadzībām (pirmsskolas izglītības iestādes būvniecībai)</t>
  </si>
  <si>
    <t>Upes prospekts 15A, Ogre (kad.nr.7401 003 0517 (zeme), 7401 501 0181 (būve)) un Upes prospekts 15B, Ogre (kad.nr.7401 501 0177 (būve)), nepieciešamība sabiedrības vajadzībām, pašvaldības funkcijas nodrošināšanai ar mērķi izveidot publisko stāvlaukumu</t>
  </si>
  <si>
    <t xml:space="preserve">2022.g. budžets </t>
  </si>
  <si>
    <t>Budžeta nod. vadītāja:                               S. Velberga</t>
  </si>
  <si>
    <t>Ceļu ikdienas uzturēšanai, remontiem Ķegums (Tome un  Rembate) no mērķdotācijas</t>
  </si>
  <si>
    <t>Ceļu ikdienas uzturēšanai, remontiem Ķeguma Birzgales pagasts no mērķdotācijas</t>
  </si>
  <si>
    <t>Ceļu ikdienas uzturēšanai, remontiem Lielvārde no mērķdotācijas</t>
  </si>
  <si>
    <t>Ceļu ikdienas uzturēšanai, remontiem Lielvārdes Lēdmanes pagasts no mērķdotācijas</t>
  </si>
  <si>
    <t>Ceļu ikdienas uzturēšanai, remontiem Lielvārdes Jumpravas pagasts no mērķdotācijas</t>
  </si>
  <si>
    <t>Ceļu ikdienas uzturēšanai, remontiem Ikšķilē no mērķdotācijas</t>
  </si>
  <si>
    <t>Ceļa grāvju atjaunošanai pēc ūdenssaimniecības III kārtas pabeigšanas Lielvārdē (Miera, Ķiršu, Puškina, Putnu, Lauku, Draudzības, Liepu ielās)</t>
  </si>
  <si>
    <t>Bebru dambju jaukšanai, bebru ķeršanai un pārvietošanai dzelzceļa noadlījuma jolsā</t>
  </si>
  <si>
    <t>Lietus kanalziācijas inventarizācijai Ogres pilsētā</t>
  </si>
  <si>
    <t>Andreja Pumpura 2 un 4 Lebiņas upes padziļināšanai</t>
  </si>
  <si>
    <t>Karjeru inventarizācijai Birzgalē</t>
  </si>
  <si>
    <t>Apstādījumu kopšanai (koku zari, vainagi, )</t>
  </si>
  <si>
    <t>Meliorācijas sistēmu kopšanai, novadgrāvju tīrīšanai</t>
  </si>
  <si>
    <t xml:space="preserve">Lobes ezera niedru pļaušanai un ūdensaugu tīrīšanai no ūdenstilpnes krasta  līnijā (3 darba dienas)   </t>
  </si>
  <si>
    <r>
      <t>Vecupes  krasta niedru pļaušanai krasta līnijā (viena darba diena, roku darbs)</t>
    </r>
    <r>
      <rPr>
        <b/>
        <sz val="12"/>
        <rFont val="Times New Roman"/>
        <family val="1"/>
        <charset val="186"/>
      </rPr>
      <t xml:space="preserve">                            </t>
    </r>
  </si>
  <si>
    <t xml:space="preserve">Informatīvās norādes izveidei pie Plaužu un Lobes ezera                              </t>
  </si>
  <si>
    <t xml:space="preserve">Lobes ezera interaktīvās istabas izveidei Lobes pag.                                                      </t>
  </si>
  <si>
    <t xml:space="preserve">Tīnūžu sākumskola </t>
  </si>
  <si>
    <t xml:space="preserve">Jumpravas pamtskola </t>
  </si>
  <si>
    <t xml:space="preserve">Lēdmanes pamatskola </t>
  </si>
  <si>
    <t>Basketbola skola</t>
  </si>
  <si>
    <t>Izd.nepar. gadījumiem</t>
  </si>
  <si>
    <t>Savst. norēķ. izglīt.</t>
  </si>
  <si>
    <t>06.2001 Teritoriju attīstība (projektēšanai)</t>
  </si>
  <si>
    <t>06.4001 Plānotais budžets apgaismošanai</t>
  </si>
  <si>
    <t>06.60003 Plānotais budžets kapu saimniecībai</t>
  </si>
  <si>
    <r>
      <t>06.600121</t>
    </r>
    <r>
      <rPr>
        <b/>
        <sz val="12"/>
        <color indexed="10"/>
        <rFont val="Arial"/>
        <family val="1"/>
        <charset val="186"/>
      </rPr>
      <t xml:space="preserve"> </t>
    </r>
    <r>
      <rPr>
        <b/>
        <sz val="12"/>
        <rFont val="Arial"/>
        <family val="1"/>
        <charset val="186"/>
      </rPr>
      <t xml:space="preserve">  2022. gada budžetā pašvaldības teritoriju labiekārtošanai paredzēti līdzekļi </t>
    </r>
  </si>
  <si>
    <t>Jumpravaspārvalde</t>
  </si>
  <si>
    <t>09.82056</t>
  </si>
  <si>
    <t>Jaunu Pašvaldības pakalpojumu sniegšanas veidu attīstība 2</t>
  </si>
  <si>
    <t>Latvijas politiski represēto Cēsu biedrības valdei - līdzfinansējums Represēto pieminekļa būvniecībai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</si>
</sst>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 &quot;Ls&quot;;[Red]\-#,##0\ &quot;Ls&quot;"/>
    <numFmt numFmtId="165" formatCode="0.0"/>
  </numFmts>
  <fonts count="88" x14ac:knownFonts="1">
    <font>
      <sz val="10"/>
      <name val="Arial"/>
      <charset val="186"/>
    </font>
    <font>
      <sz val="11"/>
      <color theme="1"/>
      <name val="Calibri"/>
      <family val="2"/>
      <charset val="186"/>
      <scheme val="minor"/>
    </font>
    <font>
      <sz val="11"/>
      <color theme="1"/>
      <name val="Calibri"/>
      <family val="2"/>
      <charset val="186"/>
      <scheme val="minor"/>
    </font>
    <font>
      <sz val="10"/>
      <name val="Arial"/>
      <family val="2"/>
      <charset val="186"/>
    </font>
    <font>
      <sz val="14"/>
      <name val="Times New Roman"/>
      <family val="1"/>
      <charset val="186"/>
    </font>
    <font>
      <sz val="11"/>
      <name val="Times New Roman"/>
      <family val="1"/>
      <charset val="186"/>
    </font>
    <font>
      <b/>
      <sz val="11"/>
      <name val="Times New Roman"/>
      <family val="1"/>
      <charset val="186"/>
    </font>
    <font>
      <sz val="11"/>
      <color indexed="10"/>
      <name val="Times New Roman"/>
      <family val="1"/>
      <charset val="186"/>
    </font>
    <font>
      <sz val="11"/>
      <color indexed="14"/>
      <name val="Times New Roman"/>
      <family val="1"/>
      <charset val="186"/>
    </font>
    <font>
      <sz val="11"/>
      <color indexed="8"/>
      <name val="Calibri"/>
      <family val="2"/>
      <charset val="186"/>
    </font>
    <font>
      <sz val="12"/>
      <name val="Times New Roman"/>
      <family val="1"/>
      <charset val="186"/>
    </font>
    <font>
      <sz val="12"/>
      <color indexed="8"/>
      <name val="Times New Roman"/>
      <family val="1"/>
      <charset val="186"/>
    </font>
    <font>
      <b/>
      <sz val="12"/>
      <name val="Times New Roman"/>
      <family val="1"/>
      <charset val="186"/>
    </font>
    <font>
      <b/>
      <i/>
      <sz val="12"/>
      <name val="Times New Roman"/>
      <family val="1"/>
      <charset val="186"/>
    </font>
    <font>
      <b/>
      <sz val="12"/>
      <color indexed="8"/>
      <name val="Times New Roman"/>
      <family val="1"/>
      <charset val="186"/>
    </font>
    <font>
      <b/>
      <sz val="14"/>
      <name val="Times New Roman"/>
      <family val="1"/>
      <charset val="186"/>
    </font>
    <font>
      <sz val="10"/>
      <name val="Times New Roman"/>
      <family val="1"/>
      <charset val="186"/>
    </font>
    <font>
      <sz val="11"/>
      <color indexed="8"/>
      <name val="Times New Roman"/>
      <family val="1"/>
      <charset val="186"/>
    </font>
    <font>
      <sz val="16"/>
      <name val="Times New Roman"/>
      <family val="1"/>
      <charset val="186"/>
    </font>
    <font>
      <sz val="10"/>
      <color indexed="10"/>
      <name val="Times New Roman"/>
      <family val="1"/>
      <charset val="186"/>
    </font>
    <font>
      <sz val="10"/>
      <color indexed="8"/>
      <name val="Times New Roman"/>
      <family val="1"/>
      <charset val="186"/>
    </font>
    <font>
      <b/>
      <sz val="11"/>
      <color indexed="8"/>
      <name val="Times New Roman"/>
      <family val="1"/>
      <charset val="186"/>
    </font>
    <font>
      <b/>
      <sz val="14"/>
      <color indexed="8"/>
      <name val="Times New Roman"/>
      <family val="1"/>
      <charset val="186"/>
    </font>
    <font>
      <i/>
      <sz val="12"/>
      <color indexed="8"/>
      <name val="Times New Roman"/>
      <family val="1"/>
      <charset val="186"/>
    </font>
    <font>
      <b/>
      <sz val="10"/>
      <name val="Times New Roman"/>
      <family val="1"/>
      <charset val="186"/>
    </font>
    <font>
      <sz val="11"/>
      <color indexed="40"/>
      <name val="Times New Roman"/>
      <family val="1"/>
      <charset val="186"/>
    </font>
    <font>
      <b/>
      <sz val="11"/>
      <color indexed="10"/>
      <name val="Times New Roman"/>
      <family val="1"/>
      <charset val="186"/>
    </font>
    <font>
      <i/>
      <sz val="11"/>
      <name val="Times New Roman"/>
      <family val="1"/>
      <charset val="186"/>
    </font>
    <font>
      <b/>
      <sz val="12"/>
      <name val="Arial"/>
      <family val="2"/>
      <charset val="186"/>
    </font>
    <font>
      <b/>
      <sz val="11"/>
      <name val="Arial"/>
      <family val="2"/>
    </font>
    <font>
      <sz val="9"/>
      <color indexed="8"/>
      <name val="Times New Roman"/>
      <family val="1"/>
      <charset val="186"/>
    </font>
    <font>
      <sz val="8"/>
      <color indexed="8"/>
      <name val="Times New Roman"/>
      <family val="1"/>
      <charset val="186"/>
    </font>
    <font>
      <b/>
      <sz val="8"/>
      <color indexed="8"/>
      <name val="Times New Roman"/>
      <family val="1"/>
      <charset val="186"/>
    </font>
    <font>
      <i/>
      <sz val="8"/>
      <color indexed="8"/>
      <name val="Times New Roman"/>
      <family val="1"/>
      <charset val="186"/>
    </font>
    <font>
      <sz val="10"/>
      <color indexed="8"/>
      <name val="Calibri"/>
      <family val="2"/>
      <charset val="186"/>
      <scheme val="minor"/>
    </font>
    <font>
      <sz val="10"/>
      <color theme="1"/>
      <name val="Calibri"/>
      <family val="2"/>
      <charset val="186"/>
      <scheme val="minor"/>
    </font>
    <font>
      <sz val="10"/>
      <name val="Arial"/>
      <family val="2"/>
    </font>
    <font>
      <b/>
      <sz val="10"/>
      <name val="Arial"/>
      <family val="2"/>
    </font>
    <font>
      <b/>
      <sz val="10"/>
      <name val="Arial"/>
      <family val="2"/>
      <charset val="186"/>
    </font>
    <font>
      <sz val="14"/>
      <color indexed="8"/>
      <name val="Times New Roman"/>
      <family val="1"/>
      <charset val="186"/>
    </font>
    <font>
      <sz val="9"/>
      <name val="Times New Roman"/>
      <family val="1"/>
      <charset val="186"/>
    </font>
    <font>
      <sz val="11"/>
      <color rgb="FFFF0000"/>
      <name val="Times New Roman"/>
      <family val="1"/>
      <charset val="186"/>
    </font>
    <font>
      <b/>
      <sz val="12"/>
      <color rgb="FF000000"/>
      <name val="Times New Roman"/>
      <family val="1"/>
      <charset val="186"/>
    </font>
    <font>
      <b/>
      <sz val="9"/>
      <color indexed="8"/>
      <name val="Times New Roman"/>
      <family val="1"/>
      <charset val="186"/>
    </font>
    <font>
      <sz val="11"/>
      <color indexed="63"/>
      <name val="Times New Roman"/>
      <family val="1"/>
      <charset val="186"/>
    </font>
    <font>
      <b/>
      <sz val="8"/>
      <name val="Times New Roman"/>
      <family val="1"/>
      <charset val="186"/>
    </font>
    <font>
      <sz val="14"/>
      <name val="Arial"/>
      <family val="2"/>
      <charset val="186"/>
    </font>
    <font>
      <b/>
      <sz val="11"/>
      <name val="Times New Roman"/>
      <family val="1"/>
    </font>
    <font>
      <sz val="11"/>
      <name val="Arial"/>
      <family val="2"/>
      <charset val="186"/>
    </font>
    <font>
      <sz val="10"/>
      <name val="Arial"/>
      <family val="2"/>
      <charset val="186"/>
    </font>
    <font>
      <sz val="11"/>
      <name val="Times New Roman"/>
      <family val="1"/>
    </font>
    <font>
      <sz val="11"/>
      <name val="Arial"/>
      <family val="2"/>
    </font>
    <font>
      <sz val="12"/>
      <color rgb="FF000000"/>
      <name val="Times New Roman"/>
      <family val="1"/>
      <charset val="186"/>
    </font>
    <font>
      <b/>
      <sz val="11"/>
      <color rgb="FF0070C0"/>
      <name val="Times New Roman"/>
      <family val="1"/>
      <charset val="186"/>
    </font>
    <font>
      <sz val="12"/>
      <color rgb="FF0070C0"/>
      <name val="Times New Roman"/>
      <family val="1"/>
      <charset val="186"/>
    </font>
    <font>
      <sz val="11"/>
      <color rgb="FF0070C0"/>
      <name val="Times New Roman"/>
      <family val="1"/>
      <charset val="186"/>
    </font>
    <font>
      <b/>
      <sz val="11"/>
      <color rgb="FF00B050"/>
      <name val="Times New Roman"/>
      <family val="1"/>
      <charset val="186"/>
    </font>
    <font>
      <sz val="10"/>
      <color rgb="FF00B050"/>
      <name val="Times New Roman"/>
      <family val="1"/>
      <charset val="186"/>
    </font>
    <font>
      <sz val="12"/>
      <color indexed="8"/>
      <name val="Times New Roman"/>
      <family val="1"/>
    </font>
    <font>
      <b/>
      <sz val="11"/>
      <color rgb="FFFF0000"/>
      <name val="Times New Roman"/>
      <family val="1"/>
      <charset val="186"/>
    </font>
    <font>
      <b/>
      <sz val="10"/>
      <color rgb="FF0070C0"/>
      <name val="Times New Roman"/>
      <family val="1"/>
      <charset val="186"/>
    </font>
    <font>
      <b/>
      <sz val="12"/>
      <color indexed="8"/>
      <name val="Calibri"/>
      <family val="2"/>
      <charset val="186"/>
      <scheme val="minor"/>
    </font>
    <font>
      <sz val="12"/>
      <color theme="1"/>
      <name val="Calibri"/>
      <family val="2"/>
      <charset val="186"/>
      <scheme val="minor"/>
    </font>
    <font>
      <sz val="11"/>
      <color rgb="FFFF0000"/>
      <name val="Calibri"/>
      <family val="2"/>
      <charset val="186"/>
      <scheme val="minor"/>
    </font>
    <font>
      <sz val="8"/>
      <name val="Times New Roman"/>
      <family val="1"/>
      <charset val="186"/>
    </font>
    <font>
      <sz val="8"/>
      <name val="Arial"/>
      <family val="2"/>
    </font>
    <font>
      <b/>
      <sz val="12"/>
      <name val="Arial"/>
      <family val="2"/>
    </font>
    <font>
      <sz val="10"/>
      <color indexed="10"/>
      <name val="Arial"/>
      <family val="2"/>
    </font>
    <font>
      <b/>
      <sz val="8"/>
      <name val="Arial"/>
      <family val="2"/>
    </font>
    <font>
      <sz val="8"/>
      <name val="Arial"/>
      <family val="2"/>
      <charset val="186"/>
    </font>
    <font>
      <b/>
      <sz val="8"/>
      <name val="Arial"/>
      <family val="2"/>
      <charset val="186"/>
    </font>
    <font>
      <b/>
      <sz val="11"/>
      <name val="Arial"/>
      <family val="2"/>
      <charset val="186"/>
    </font>
    <font>
      <sz val="10"/>
      <color indexed="63"/>
      <name val="Times New Roman"/>
      <family val="1"/>
      <charset val="186"/>
    </font>
    <font>
      <sz val="10"/>
      <color rgb="FFFF0000"/>
      <name val="Times New Roman"/>
      <family val="1"/>
      <charset val="186"/>
    </font>
    <font>
      <sz val="11"/>
      <color theme="1"/>
      <name val="Times New Roman"/>
      <family val="1"/>
      <charset val="186"/>
    </font>
    <font>
      <b/>
      <sz val="11"/>
      <color theme="4"/>
      <name val="Times New Roman"/>
      <family val="1"/>
      <charset val="186"/>
    </font>
    <font>
      <sz val="10"/>
      <color rgb="FF000000"/>
      <name val="Times New Roman"/>
      <family val="1"/>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1"/>
      <color rgb="FFFF0000"/>
      <name val="Arial"/>
      <family val="2"/>
    </font>
    <font>
      <i/>
      <sz val="12"/>
      <name val="Times New Roman"/>
      <family val="1"/>
      <charset val="186"/>
    </font>
    <font>
      <sz val="8"/>
      <color rgb="FF000000"/>
      <name val="Arial"/>
      <family val="2"/>
      <charset val="186"/>
    </font>
    <font>
      <sz val="10"/>
      <color rgb="FFFF0000"/>
      <name val="Arial"/>
      <family val="2"/>
      <charset val="186"/>
    </font>
    <font>
      <b/>
      <sz val="11"/>
      <color theme="1"/>
      <name val="Times New Roman"/>
      <family val="1"/>
      <charset val="186"/>
    </font>
    <font>
      <sz val="9"/>
      <name val="Arial"/>
      <family val="2"/>
      <charset val="186"/>
    </font>
    <font>
      <b/>
      <sz val="12"/>
      <color indexed="10"/>
      <name val="Arial"/>
      <family val="1"/>
      <charset val="186"/>
    </font>
    <font>
      <b/>
      <sz val="12"/>
      <name val="Arial"/>
      <family val="1"/>
      <charset val="186"/>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patternFill>
    </fill>
  </fills>
  <borders count="1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8"/>
      </bottom>
      <diagonal/>
    </border>
    <border>
      <left style="medium">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bottom style="thin">
        <color indexed="8"/>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8"/>
      </right>
      <top style="medium">
        <color indexed="64"/>
      </top>
      <bottom/>
      <diagonal/>
    </border>
    <border>
      <left style="thin">
        <color indexed="8"/>
      </left>
      <right/>
      <top style="medium">
        <color indexed="8"/>
      </top>
      <bottom/>
      <diagonal/>
    </border>
    <border>
      <left style="thin">
        <color indexed="8"/>
      </left>
      <right/>
      <top style="medium">
        <color indexed="64"/>
      </top>
      <bottom style="medium">
        <color indexed="8"/>
      </bottom>
      <diagonal/>
    </border>
    <border>
      <left style="medium">
        <color indexed="64"/>
      </left>
      <right style="medium">
        <color indexed="64"/>
      </right>
      <top style="medium">
        <color indexed="64"/>
      </top>
      <bottom/>
      <diagonal/>
    </border>
    <border>
      <left style="thin">
        <color indexed="8"/>
      </left>
      <right/>
      <top style="medium">
        <color indexed="8"/>
      </top>
      <bottom style="thin">
        <color indexed="8"/>
      </bottom>
      <diagonal/>
    </border>
    <border>
      <left style="medium">
        <color indexed="64"/>
      </left>
      <right style="thin">
        <color indexed="8"/>
      </right>
      <top style="medium">
        <color indexed="8"/>
      </top>
      <bottom style="thin">
        <color indexed="8"/>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8"/>
      </right>
      <top style="thin">
        <color indexed="8"/>
      </top>
      <bottom style="thin">
        <color indexed="8"/>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8"/>
      </left>
      <right/>
      <top style="medium">
        <color indexed="8"/>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top style="medium">
        <color indexed="8"/>
      </top>
      <bottom style="medium">
        <color indexed="64"/>
      </bottom>
      <diagonal/>
    </border>
    <border>
      <left style="thin">
        <color indexed="8"/>
      </left>
      <right style="medium">
        <color indexed="8"/>
      </right>
      <top style="medium">
        <color indexed="64"/>
      </top>
      <bottom style="medium">
        <color indexed="8"/>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8"/>
      </left>
      <right style="medium">
        <color indexed="8"/>
      </right>
      <top style="medium">
        <color indexed="8"/>
      </top>
      <bottom style="thin">
        <color indexed="8"/>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style="medium">
        <color indexed="64"/>
      </top>
      <bottom/>
      <diagonal/>
    </border>
    <border>
      <left style="medium">
        <color indexed="64"/>
      </left>
      <right style="medium">
        <color indexed="64"/>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8"/>
      </bottom>
      <diagonal/>
    </border>
    <border>
      <left/>
      <right style="thin">
        <color indexed="8"/>
      </right>
      <top style="thin">
        <color indexed="8"/>
      </top>
      <bottom style="thin">
        <color indexed="8"/>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8"/>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style="medium">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8"/>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8"/>
      </top>
      <bottom style="thin">
        <color indexed="8"/>
      </bottom>
      <diagonal/>
    </border>
    <border>
      <left/>
      <right style="medium">
        <color indexed="64"/>
      </right>
      <top style="medium">
        <color indexed="8"/>
      </top>
      <bottom style="thin">
        <color indexed="8"/>
      </bottom>
      <diagonal/>
    </border>
    <border>
      <left style="thin">
        <color indexed="8"/>
      </left>
      <right/>
      <top/>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8"/>
      </top>
      <bottom style="thin">
        <color indexed="8"/>
      </bottom>
      <diagonal/>
    </border>
    <border>
      <left style="medium">
        <color indexed="8"/>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thin">
        <color indexed="8"/>
      </top>
      <bottom style="thin">
        <color indexed="8"/>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8"/>
      </top>
      <bottom/>
      <diagonal/>
    </border>
    <border>
      <left style="thin">
        <color indexed="64"/>
      </left>
      <right style="medium">
        <color indexed="64"/>
      </right>
      <top style="thin">
        <color indexed="8"/>
      </top>
      <bottom style="thin">
        <color indexed="64"/>
      </bottom>
      <diagonal/>
    </border>
    <border>
      <left style="medium">
        <color indexed="8"/>
      </left>
      <right/>
      <top/>
      <bottom style="medium">
        <color indexed="64"/>
      </bottom>
      <diagonal/>
    </border>
    <border>
      <left/>
      <right style="medium">
        <color indexed="64"/>
      </right>
      <top style="thin">
        <color indexed="64"/>
      </top>
      <bottom style="medium">
        <color indexed="64"/>
      </bottom>
      <diagonal/>
    </border>
    <border>
      <left/>
      <right style="medium">
        <color indexed="8"/>
      </right>
      <top/>
      <bottom style="medium">
        <color indexed="64"/>
      </bottom>
      <diagonal/>
    </border>
    <border>
      <left/>
      <right style="thin">
        <color indexed="64"/>
      </right>
      <top/>
      <bottom/>
      <diagonal/>
    </border>
    <border>
      <left style="thin">
        <color rgb="FFC0C0C0"/>
      </left>
      <right/>
      <top/>
      <bottom style="thin">
        <color rgb="FFC0C0C0"/>
      </bottom>
      <diagonal/>
    </border>
    <border>
      <left style="medium">
        <color indexed="8"/>
      </left>
      <right/>
      <top style="medium">
        <color indexed="8"/>
      </top>
      <bottom style="thin">
        <color indexed="8"/>
      </bottom>
      <diagonal/>
    </border>
    <border>
      <left style="thin">
        <color indexed="0"/>
      </left>
      <right style="thin">
        <color indexed="0"/>
      </right>
      <top style="thin">
        <color indexed="0"/>
      </top>
      <bottom style="thin">
        <color indexed="0"/>
      </bottom>
      <diagonal/>
    </border>
    <border>
      <left style="medium">
        <color indexed="64"/>
      </left>
      <right style="thin">
        <color indexed="8"/>
      </right>
      <top/>
      <bottom/>
      <diagonal/>
    </border>
  </borders>
  <cellStyleXfs count="8">
    <xf numFmtId="0" fontId="0" fillId="0" borderId="0"/>
    <xf numFmtId="0" fontId="3" fillId="0" borderId="0"/>
    <xf numFmtId="0" fontId="9" fillId="0" borderId="0"/>
    <xf numFmtId="0" fontId="9" fillId="0" borderId="0"/>
    <xf numFmtId="0" fontId="3" fillId="0" borderId="0"/>
    <xf numFmtId="0" fontId="2" fillId="0" borderId="0"/>
    <xf numFmtId="43" fontId="49" fillId="0" borderId="0" applyFont="0" applyFill="0" applyBorder="0" applyAlignment="0" applyProtection="0"/>
    <xf numFmtId="0" fontId="1" fillId="0" borderId="0"/>
  </cellStyleXfs>
  <cellXfs count="1096">
    <xf numFmtId="0" fontId="0" fillId="0" borderId="0" xfId="0"/>
    <xf numFmtId="0" fontId="5" fillId="0" borderId="0" xfId="0" applyFont="1"/>
    <xf numFmtId="0" fontId="5" fillId="0" borderId="0" xfId="0" applyFont="1" applyAlignment="1">
      <alignment horizontal="right"/>
    </xf>
    <xf numFmtId="0" fontId="6" fillId="0" borderId="0" xfId="0" applyFont="1"/>
    <xf numFmtId="0" fontId="5" fillId="0" borderId="0" xfId="0" applyFont="1" applyBorder="1"/>
    <xf numFmtId="0" fontId="7" fillId="0" borderId="0" xfId="0" applyFont="1"/>
    <xf numFmtId="0" fontId="5" fillId="0" borderId="0" xfId="0" applyFont="1" applyFill="1"/>
    <xf numFmtId="0" fontId="6" fillId="0" borderId="0" xfId="0" applyFont="1" applyBorder="1"/>
    <xf numFmtId="0" fontId="5" fillId="0" borderId="0" xfId="0" applyFont="1" applyAlignment="1">
      <alignment wrapText="1"/>
    </xf>
    <xf numFmtId="0" fontId="5" fillId="0" borderId="0" xfId="0" applyFont="1" applyBorder="1" applyAlignment="1">
      <alignment wrapText="1"/>
    </xf>
    <xf numFmtId="0" fontId="7" fillId="0" borderId="0" xfId="0" applyFont="1" applyFill="1"/>
    <xf numFmtId="49" fontId="5" fillId="0" borderId="0" xfId="0" applyNumberFormat="1" applyFont="1"/>
    <xf numFmtId="0" fontId="8" fillId="0" borderId="0" xfId="0" applyFont="1"/>
    <xf numFmtId="3" fontId="6" fillId="0" borderId="0" xfId="0" applyNumberFormat="1" applyFont="1" applyBorder="1"/>
    <xf numFmtId="0" fontId="6" fillId="0" borderId="0" xfId="0" applyFont="1" applyBorder="1" applyAlignment="1">
      <alignment horizontal="left" wrapText="1"/>
    </xf>
    <xf numFmtId="3" fontId="6" fillId="0" borderId="0" xfId="0" applyNumberFormat="1" applyFont="1" applyFill="1" applyBorder="1"/>
    <xf numFmtId="0" fontId="10" fillId="0" borderId="0" xfId="0" applyFont="1"/>
    <xf numFmtId="0" fontId="10" fillId="0" borderId="1" xfId="0" applyFont="1" applyBorder="1"/>
    <xf numFmtId="0" fontId="5" fillId="0" borderId="1" xfId="0" applyFont="1" applyBorder="1"/>
    <xf numFmtId="3" fontId="6" fillId="0" borderId="2" xfId="0" applyNumberFormat="1" applyFont="1" applyFill="1" applyBorder="1"/>
    <xf numFmtId="0" fontId="12" fillId="0" borderId="3" xfId="0" applyFont="1" applyBorder="1"/>
    <xf numFmtId="3" fontId="5" fillId="0" borderId="5" xfId="0" applyNumberFormat="1" applyFont="1" applyFill="1" applyBorder="1"/>
    <xf numFmtId="3" fontId="10" fillId="0" borderId="6" xfId="0" applyNumberFormat="1" applyFont="1" applyFill="1" applyBorder="1"/>
    <xf numFmtId="3" fontId="10" fillId="0" borderId="5" xfId="0" applyNumberFormat="1" applyFont="1" applyFill="1" applyBorder="1"/>
    <xf numFmtId="0" fontId="10" fillId="0" borderId="7" xfId="0" applyFont="1" applyBorder="1" applyAlignment="1">
      <alignment horizontal="left" wrapText="1"/>
    </xf>
    <xf numFmtId="0" fontId="16" fillId="0" borderId="0" xfId="0" applyFont="1"/>
    <xf numFmtId="0" fontId="4" fillId="0" borderId="8" xfId="0" applyFont="1" applyBorder="1" applyAlignment="1">
      <alignment wrapText="1"/>
    </xf>
    <xf numFmtId="0" fontId="4" fillId="0" borderId="3" xfId="0" applyFont="1" applyBorder="1" applyAlignment="1">
      <alignment horizontal="center" vertical="center"/>
    </xf>
    <xf numFmtId="0" fontId="16" fillId="0" borderId="0" xfId="0" applyFont="1" applyAlignment="1">
      <alignment wrapText="1"/>
    </xf>
    <xf numFmtId="0" fontId="10" fillId="0" borderId="7" xfId="0" applyFont="1" applyBorder="1" applyAlignment="1">
      <alignment wrapText="1"/>
    </xf>
    <xf numFmtId="0" fontId="16" fillId="0" borderId="0" xfId="0" applyFont="1" applyFill="1"/>
    <xf numFmtId="0" fontId="19" fillId="0" borderId="0" xfId="0" applyFont="1" applyFill="1"/>
    <xf numFmtId="0" fontId="10" fillId="0" borderId="10" xfId="0" applyFont="1" applyFill="1" applyBorder="1"/>
    <xf numFmtId="0" fontId="12" fillId="0" borderId="8" xfId="0" applyFont="1" applyBorder="1" applyAlignment="1">
      <alignment wrapText="1"/>
    </xf>
    <xf numFmtId="3" fontId="12" fillId="0" borderId="0" xfId="0" applyNumberFormat="1" applyFont="1" applyBorder="1"/>
    <xf numFmtId="0" fontId="12" fillId="0" borderId="0" xfId="0" applyFont="1" applyBorder="1"/>
    <xf numFmtId="3" fontId="4" fillId="0" borderId="13" xfId="0" applyNumberFormat="1" applyFont="1" applyBorder="1" applyAlignment="1">
      <alignment horizontal="center" wrapText="1"/>
    </xf>
    <xf numFmtId="3" fontId="16" fillId="0" borderId="0" xfId="0" applyNumberFormat="1" applyFont="1"/>
    <xf numFmtId="0" fontId="12" fillId="0" borderId="8" xfId="0" applyFont="1" applyFill="1" applyBorder="1" applyAlignment="1">
      <alignment wrapText="1"/>
    </xf>
    <xf numFmtId="3" fontId="12" fillId="0" borderId="18" xfId="0" applyNumberFormat="1" applyFont="1" applyBorder="1"/>
    <xf numFmtId="0" fontId="10" fillId="0" borderId="19" xfId="0" applyFont="1" applyBorder="1" applyAlignment="1">
      <alignment wrapText="1"/>
    </xf>
    <xf numFmtId="0" fontId="12" fillId="0" borderId="20" xfId="0" applyFont="1" applyFill="1" applyBorder="1" applyAlignment="1">
      <alignment wrapText="1"/>
    </xf>
    <xf numFmtId="0" fontId="12" fillId="0" borderId="0" xfId="3" applyFont="1"/>
    <xf numFmtId="0" fontId="12" fillId="0" borderId="0" xfId="0" applyFont="1" applyBorder="1" applyAlignment="1">
      <alignment horizontal="right" wrapText="1"/>
    </xf>
    <xf numFmtId="0" fontId="12" fillId="0" borderId="1" xfId="0" applyFont="1" applyBorder="1" applyAlignment="1">
      <alignment horizontal="right" wrapText="1"/>
    </xf>
    <xf numFmtId="0" fontId="12" fillId="0" borderId="1" xfId="0" applyFont="1" applyBorder="1"/>
    <xf numFmtId="3" fontId="12" fillId="0" borderId="1" xfId="0" applyNumberFormat="1" applyFont="1" applyBorder="1"/>
    <xf numFmtId="0" fontId="10" fillId="0" borderId="8" xfId="0" applyFont="1" applyBorder="1" applyAlignment="1">
      <alignment wrapText="1"/>
    </xf>
    <xf numFmtId="0" fontId="10" fillId="0" borderId="3" xfId="0" applyFont="1" applyBorder="1"/>
    <xf numFmtId="3" fontId="10" fillId="0" borderId="18" xfId="0" applyNumberFormat="1" applyFont="1" applyFill="1" applyBorder="1" applyAlignment="1">
      <alignment horizontal="right"/>
    </xf>
    <xf numFmtId="0" fontId="11" fillId="0" borderId="7" xfId="0" applyFont="1" applyBorder="1"/>
    <xf numFmtId="0" fontId="5" fillId="0" borderId="0" xfId="0" applyFont="1" applyFill="1" applyBorder="1"/>
    <xf numFmtId="0" fontId="6" fillId="0" borderId="29" xfId="0" applyFont="1" applyFill="1" applyBorder="1"/>
    <xf numFmtId="0" fontId="6" fillId="0" borderId="0" xfId="0" applyFont="1" applyBorder="1" applyAlignment="1">
      <alignment horizontal="right" wrapText="1"/>
    </xf>
    <xf numFmtId="0" fontId="6" fillId="0" borderId="0" xfId="0" applyFont="1" applyAlignment="1">
      <alignment horizontal="center"/>
    </xf>
    <xf numFmtId="49" fontId="5" fillId="0" borderId="0" xfId="0" applyNumberFormat="1" applyFont="1" applyFill="1" applyBorder="1" applyAlignment="1">
      <alignment horizontal="center"/>
    </xf>
    <xf numFmtId="0" fontId="5" fillId="0" borderId="0" xfId="0" applyFont="1" applyFill="1" applyAlignment="1">
      <alignment horizontal="center"/>
    </xf>
    <xf numFmtId="0" fontId="5" fillId="0" borderId="8" xfId="0" applyFont="1" applyBorder="1"/>
    <xf numFmtId="0" fontId="4" fillId="0" borderId="30" xfId="0" applyFont="1" applyBorder="1" applyAlignment="1">
      <alignment horizontal="center"/>
    </xf>
    <xf numFmtId="0" fontId="5" fillId="0" borderId="31" xfId="0" applyFont="1" applyBorder="1" applyAlignment="1">
      <alignment horizontal="center" wrapText="1"/>
    </xf>
    <xf numFmtId="0" fontId="5" fillId="0" borderId="18" xfId="0" applyFont="1" applyBorder="1" applyAlignment="1">
      <alignment horizontal="center" wrapText="1"/>
    </xf>
    <xf numFmtId="0" fontId="6" fillId="0" borderId="12" xfId="0" applyFont="1" applyBorder="1" applyAlignment="1">
      <alignment horizontal="left"/>
    </xf>
    <xf numFmtId="0" fontId="5" fillId="0" borderId="32" xfId="0" applyFont="1" applyBorder="1"/>
    <xf numFmtId="1" fontId="6" fillId="0" borderId="33" xfId="0" applyNumberFormat="1" applyFont="1" applyBorder="1"/>
    <xf numFmtId="0" fontId="6" fillId="0" borderId="25" xfId="0" applyFont="1" applyFill="1" applyBorder="1"/>
    <xf numFmtId="0" fontId="6" fillId="0" borderId="4" xfId="0" applyFont="1" applyFill="1" applyBorder="1"/>
    <xf numFmtId="0" fontId="6" fillId="0" borderId="7" xfId="0" applyFont="1" applyBorder="1" applyAlignment="1">
      <alignment horizontal="left"/>
    </xf>
    <xf numFmtId="0" fontId="5" fillId="0" borderId="34" xfId="0" applyFont="1" applyBorder="1" applyAlignment="1">
      <alignment wrapText="1"/>
    </xf>
    <xf numFmtId="1" fontId="6" fillId="0" borderId="2" xfId="0" applyNumberFormat="1" applyFont="1" applyBorder="1"/>
    <xf numFmtId="1" fontId="6" fillId="0" borderId="10" xfId="0" applyNumberFormat="1" applyFont="1" applyFill="1" applyBorder="1"/>
    <xf numFmtId="1" fontId="6" fillId="0" borderId="1" xfId="0" applyNumberFormat="1" applyFont="1" applyFill="1" applyBorder="1"/>
    <xf numFmtId="1" fontId="6" fillId="0" borderId="5" xfId="0" applyNumberFormat="1" applyFont="1" applyFill="1" applyBorder="1"/>
    <xf numFmtId="1" fontId="24" fillId="0" borderId="0" xfId="0" applyNumberFormat="1" applyFont="1" applyBorder="1"/>
    <xf numFmtId="0" fontId="5" fillId="0" borderId="34" xfId="0" applyFont="1" applyBorder="1"/>
    <xf numFmtId="0" fontId="24" fillId="0" borderId="1" xfId="0" applyFont="1" applyFill="1" applyBorder="1"/>
    <xf numFmtId="0" fontId="24" fillId="0" borderId="5" xfId="0" applyFont="1" applyFill="1" applyBorder="1"/>
    <xf numFmtId="1" fontId="6" fillId="0" borderId="2" xfId="0" applyNumberFormat="1" applyFont="1" applyFill="1" applyBorder="1"/>
    <xf numFmtId="0" fontId="5" fillId="0" borderId="35" xfId="0" applyFont="1" applyBorder="1"/>
    <xf numFmtId="0" fontId="6" fillId="0" borderId="10" xfId="0" applyFont="1" applyFill="1" applyBorder="1"/>
    <xf numFmtId="0" fontId="6" fillId="0" borderId="1" xfId="0" applyFont="1" applyFill="1" applyBorder="1"/>
    <xf numFmtId="0" fontId="6" fillId="0" borderId="5" xfId="0" applyFont="1" applyFill="1" applyBorder="1"/>
    <xf numFmtId="1" fontId="24" fillId="0" borderId="10" xfId="0" applyNumberFormat="1" applyFont="1" applyFill="1" applyBorder="1"/>
    <xf numFmtId="1" fontId="24" fillId="0" borderId="6" xfId="0" applyNumberFormat="1" applyFont="1" applyFill="1" applyBorder="1"/>
    <xf numFmtId="0" fontId="24" fillId="0" borderId="10" xfId="0" applyFont="1" applyBorder="1"/>
    <xf numFmtId="0" fontId="24" fillId="0" borderId="1" xfId="0" applyFont="1" applyBorder="1"/>
    <xf numFmtId="0" fontId="24" fillId="0" borderId="5" xfId="0" applyFont="1" applyBorder="1"/>
    <xf numFmtId="0" fontId="5" fillId="0" borderId="34" xfId="0" applyFont="1" applyFill="1" applyBorder="1" applyAlignment="1">
      <alignment wrapText="1"/>
    </xf>
    <xf numFmtId="0" fontId="6" fillId="0" borderId="10" xfId="0" applyFont="1" applyBorder="1"/>
    <xf numFmtId="0" fontId="6" fillId="0" borderId="1" xfId="0" applyFont="1" applyBorder="1"/>
    <xf numFmtId="0" fontId="6" fillId="0" borderId="5" xfId="0" applyFont="1" applyBorder="1"/>
    <xf numFmtId="0" fontId="6" fillId="0" borderId="11" xfId="0" applyFont="1" applyBorder="1" applyAlignment="1">
      <alignment horizontal="left"/>
    </xf>
    <xf numFmtId="0" fontId="5" fillId="0" borderId="36" xfId="0" applyFont="1" applyBorder="1"/>
    <xf numFmtId="0" fontId="24" fillId="0" borderId="38" xfId="0" applyFont="1" applyBorder="1"/>
    <xf numFmtId="0" fontId="24" fillId="0" borderId="22" xfId="0" applyFont="1" applyBorder="1"/>
    <xf numFmtId="1" fontId="24" fillId="0" borderId="22" xfId="0" applyNumberFormat="1" applyFont="1" applyBorder="1"/>
    <xf numFmtId="0" fontId="24" fillId="0" borderId="24" xfId="0" applyFont="1" applyBorder="1"/>
    <xf numFmtId="0" fontId="6" fillId="0" borderId="30" xfId="0" applyFont="1" applyBorder="1" applyAlignment="1">
      <alignment horizontal="right"/>
    </xf>
    <xf numFmtId="1" fontId="6" fillId="0" borderId="31" xfId="0" applyNumberFormat="1" applyFont="1" applyBorder="1"/>
    <xf numFmtId="0" fontId="24" fillId="0" borderId="0" xfId="0" applyFont="1" applyBorder="1" applyAlignment="1">
      <alignment horizontal="right"/>
    </xf>
    <xf numFmtId="0" fontId="24" fillId="0" borderId="0" xfId="0" applyFont="1" applyBorder="1"/>
    <xf numFmtId="0" fontId="24" fillId="0" borderId="0" xfId="0" applyFont="1"/>
    <xf numFmtId="1" fontId="6" fillId="0" borderId="0" xfId="0" applyNumberFormat="1" applyFont="1" applyBorder="1"/>
    <xf numFmtId="0" fontId="6" fillId="0" borderId="0" xfId="0" applyFont="1" applyAlignment="1">
      <alignment horizontal="right"/>
    </xf>
    <xf numFmtId="49" fontId="5" fillId="0" borderId="0" xfId="0" applyNumberFormat="1" applyFont="1" applyAlignment="1">
      <alignment horizontal="center"/>
    </xf>
    <xf numFmtId="0" fontId="5" fillId="0" borderId="0" xfId="0" applyFont="1" applyBorder="1" applyAlignment="1">
      <alignment horizontal="center" wrapText="1"/>
    </xf>
    <xf numFmtId="0" fontId="5" fillId="0" borderId="0" xfId="0" applyFont="1" applyFill="1" applyAlignment="1">
      <alignment wrapText="1"/>
    </xf>
    <xf numFmtId="0" fontId="6" fillId="0" borderId="33" xfId="0" applyFont="1" applyBorder="1"/>
    <xf numFmtId="0" fontId="6" fillId="0" borderId="2" xfId="0" applyFont="1" applyBorder="1"/>
    <xf numFmtId="0" fontId="25" fillId="0" borderId="0" xfId="0" applyFont="1"/>
    <xf numFmtId="1" fontId="5" fillId="0" borderId="34" xfId="0" applyNumberFormat="1" applyFont="1" applyBorder="1"/>
    <xf numFmtId="0" fontId="6" fillId="0" borderId="37" xfId="0" applyFont="1" applyBorder="1"/>
    <xf numFmtId="0" fontId="6" fillId="0" borderId="22" xfId="0" applyFont="1" applyBorder="1"/>
    <xf numFmtId="0" fontId="6" fillId="0" borderId="31" xfId="0" applyFont="1" applyBorder="1"/>
    <xf numFmtId="0" fontId="7" fillId="0" borderId="0" xfId="0" applyFont="1" applyBorder="1"/>
    <xf numFmtId="0" fontId="5" fillId="0" borderId="39" xfId="0" applyFont="1" applyBorder="1"/>
    <xf numFmtId="0" fontId="6" fillId="0" borderId="0" xfId="0" applyFont="1" applyAlignment="1">
      <alignment horizontal="left"/>
    </xf>
    <xf numFmtId="0" fontId="5" fillId="0" borderId="0" xfId="0" applyFont="1" applyAlignment="1">
      <alignment horizontal="left"/>
    </xf>
    <xf numFmtId="49" fontId="5" fillId="0" borderId="0" xfId="0" applyNumberFormat="1" applyFont="1" applyFill="1" applyAlignment="1">
      <alignment horizontal="center"/>
    </xf>
    <xf numFmtId="0" fontId="6" fillId="0" borderId="0" xfId="0" applyFont="1" applyAlignment="1">
      <alignment wrapText="1"/>
    </xf>
    <xf numFmtId="0" fontId="5" fillId="0" borderId="0" xfId="0" applyFont="1" applyFill="1" applyAlignment="1">
      <alignment horizontal="center" wrapText="1"/>
    </xf>
    <xf numFmtId="0" fontId="5" fillId="0" borderId="0" xfId="0" applyFont="1" applyAlignment="1">
      <alignment horizontal="center" wrapText="1"/>
    </xf>
    <xf numFmtId="0" fontId="6" fillId="0" borderId="40" xfId="0" applyFont="1" applyBorder="1"/>
    <xf numFmtId="0" fontId="4" fillId="0" borderId="41" xfId="0" applyFont="1" applyBorder="1" applyAlignment="1">
      <alignment horizontal="center"/>
    </xf>
    <xf numFmtId="0" fontId="6" fillId="0" borderId="43" xfId="0" applyFont="1" applyBorder="1" applyAlignment="1">
      <alignment horizontal="left"/>
    </xf>
    <xf numFmtId="0" fontId="6" fillId="0" borderId="44" xfId="0" applyFont="1" applyBorder="1" applyAlignment="1">
      <alignment horizontal="left"/>
    </xf>
    <xf numFmtId="0" fontId="5" fillId="0" borderId="43" xfId="0" applyFont="1" applyBorder="1"/>
    <xf numFmtId="0" fontId="6" fillId="0" borderId="45" xfId="0" applyFont="1" applyFill="1" applyBorder="1"/>
    <xf numFmtId="0" fontId="6" fillId="0" borderId="46" xfId="0" applyFont="1" applyBorder="1"/>
    <xf numFmtId="0" fontId="6" fillId="0" borderId="45" xfId="0" applyFont="1" applyBorder="1"/>
    <xf numFmtId="0" fontId="6" fillId="0" borderId="35" xfId="0" applyFont="1" applyBorder="1" applyAlignment="1">
      <alignment horizontal="left"/>
    </xf>
    <xf numFmtId="0" fontId="6" fillId="0" borderId="47" xfId="0" applyFont="1" applyBorder="1" applyAlignment="1">
      <alignment horizontal="left"/>
    </xf>
    <xf numFmtId="0" fontId="5" fillId="0" borderId="35" xfId="0" applyFont="1" applyBorder="1" applyAlignment="1">
      <alignment wrapText="1"/>
    </xf>
    <xf numFmtId="1" fontId="6" fillId="0" borderId="6" xfId="0" applyNumberFormat="1" applyFont="1" applyBorder="1"/>
    <xf numFmtId="0" fontId="6" fillId="0" borderId="2" xfId="0" applyFont="1" applyFill="1" applyBorder="1"/>
    <xf numFmtId="0" fontId="6" fillId="0" borderId="48" xfId="0" applyFont="1" applyBorder="1"/>
    <xf numFmtId="0" fontId="6" fillId="0" borderId="9" xfId="0" applyFont="1" applyBorder="1"/>
    <xf numFmtId="0" fontId="24" fillId="0" borderId="6" xfId="0" applyFont="1" applyBorder="1"/>
    <xf numFmtId="0" fontId="24" fillId="0" borderId="2" xfId="0" applyFont="1" applyBorder="1"/>
    <xf numFmtId="0" fontId="6" fillId="0" borderId="34" xfId="0" applyFont="1" applyBorder="1" applyAlignment="1">
      <alignment horizontal="left"/>
    </xf>
    <xf numFmtId="0" fontId="6" fillId="0" borderId="6" xfId="0" applyFont="1" applyBorder="1"/>
    <xf numFmtId="0" fontId="6" fillId="0" borderId="6" xfId="0" applyFont="1" applyFill="1" applyBorder="1"/>
    <xf numFmtId="0" fontId="24" fillId="0" borderId="9" xfId="0" applyFont="1" applyBorder="1"/>
    <xf numFmtId="0" fontId="5" fillId="0" borderId="50" xfId="0" applyFont="1" applyBorder="1"/>
    <xf numFmtId="0" fontId="5" fillId="0" borderId="51" xfId="0" applyFont="1" applyBorder="1"/>
    <xf numFmtId="0" fontId="6" fillId="0" borderId="52" xfId="0" applyFont="1" applyBorder="1" applyAlignment="1">
      <alignment horizontal="right"/>
    </xf>
    <xf numFmtId="1" fontId="12" fillId="0" borderId="31" xfId="0" applyNumberFormat="1" applyFont="1" applyBorder="1"/>
    <xf numFmtId="1" fontId="12" fillId="0" borderId="31" xfId="0" applyNumberFormat="1" applyFont="1" applyFill="1" applyBorder="1"/>
    <xf numFmtId="0" fontId="6" fillId="0" borderId="0" xfId="0" applyFont="1" applyFill="1" applyBorder="1"/>
    <xf numFmtId="0" fontId="6" fillId="0" borderId="0" xfId="0" applyFont="1" applyBorder="1" applyAlignment="1">
      <alignment horizontal="right"/>
    </xf>
    <xf numFmtId="0" fontId="4" fillId="0" borderId="53" xfId="0" applyFont="1" applyBorder="1" applyAlignment="1">
      <alignment horizontal="center"/>
    </xf>
    <xf numFmtId="0" fontId="5" fillId="0" borderId="31" xfId="0" applyFont="1" applyFill="1" applyBorder="1" applyAlignment="1">
      <alignment horizontal="center" wrapText="1"/>
    </xf>
    <xf numFmtId="0" fontId="6" fillId="0" borderId="54" xfId="0" applyFont="1" applyBorder="1" applyAlignment="1">
      <alignment horizontal="left"/>
    </xf>
    <xf numFmtId="0" fontId="5" fillId="0" borderId="55" xfId="0" applyFont="1" applyBorder="1"/>
    <xf numFmtId="0" fontId="6" fillId="0" borderId="1" xfId="0" applyFont="1" applyBorder="1" applyAlignment="1">
      <alignment horizontal="left"/>
    </xf>
    <xf numFmtId="0" fontId="5" fillId="0" borderId="1" xfId="0" applyFont="1" applyFill="1" applyBorder="1" applyAlignment="1">
      <alignment wrapText="1"/>
    </xf>
    <xf numFmtId="0" fontId="5" fillId="0" borderId="3" xfId="0" applyFont="1" applyBorder="1"/>
    <xf numFmtId="165" fontId="6" fillId="0" borderId="0" xfId="0" applyNumberFormat="1" applyFont="1" applyBorder="1"/>
    <xf numFmtId="0" fontId="6" fillId="0" borderId="56" xfId="0" applyFont="1" applyBorder="1" applyAlignment="1">
      <alignment horizontal="left"/>
    </xf>
    <xf numFmtId="0" fontId="6" fillId="0" borderId="57" xfId="0" applyFont="1" applyBorder="1"/>
    <xf numFmtId="1" fontId="6" fillId="0" borderId="9" xfId="0" applyNumberFormat="1" applyFont="1" applyBorder="1"/>
    <xf numFmtId="0" fontId="6" fillId="0" borderId="9" xfId="0" applyFont="1" applyFill="1" applyBorder="1"/>
    <xf numFmtId="0" fontId="6" fillId="0" borderId="37" xfId="0" applyFont="1" applyFill="1" applyBorder="1"/>
    <xf numFmtId="0" fontId="6" fillId="0" borderId="28" xfId="0" applyFont="1" applyFill="1" applyBorder="1"/>
    <xf numFmtId="0" fontId="5" fillId="0" borderId="16" xfId="0" applyFont="1" applyBorder="1"/>
    <xf numFmtId="0" fontId="6" fillId="0" borderId="49" xfId="0" applyFont="1" applyBorder="1"/>
    <xf numFmtId="0" fontId="6" fillId="0" borderId="49" xfId="0" applyFont="1" applyFill="1" applyBorder="1"/>
    <xf numFmtId="1" fontId="6" fillId="0" borderId="0" xfId="0" applyNumberFormat="1" applyFont="1"/>
    <xf numFmtId="0" fontId="5" fillId="0" borderId="0" xfId="0" applyFont="1" applyAlignment="1">
      <alignment horizontal="right" wrapText="1"/>
    </xf>
    <xf numFmtId="0" fontId="5" fillId="0" borderId="55" xfId="0" applyFont="1" applyBorder="1" applyAlignment="1">
      <alignment wrapText="1"/>
    </xf>
    <xf numFmtId="0" fontId="24" fillId="0" borderId="58" xfId="0" applyFont="1" applyBorder="1"/>
    <xf numFmtId="0" fontId="6" fillId="0" borderId="59" xfId="0" applyFont="1" applyBorder="1"/>
    <xf numFmtId="0" fontId="24" fillId="0" borderId="37" xfId="0" applyFont="1" applyBorder="1"/>
    <xf numFmtId="0" fontId="6" fillId="0" borderId="30" xfId="0" applyFont="1" applyBorder="1" applyAlignment="1">
      <alignment horizontal="right" wrapText="1"/>
    </xf>
    <xf numFmtId="0" fontId="6" fillId="0" borderId="0" xfId="0" applyFont="1" applyAlignment="1"/>
    <xf numFmtId="0" fontId="5" fillId="0" borderId="60" xfId="0" applyFont="1" applyBorder="1"/>
    <xf numFmtId="0" fontId="5" fillId="0" borderId="20" xfId="0" applyFont="1" applyBorder="1" applyAlignment="1">
      <alignment horizontal="center" wrapText="1"/>
    </xf>
    <xf numFmtId="0" fontId="6" fillId="0" borderId="61" xfId="0" applyFont="1" applyBorder="1"/>
    <xf numFmtId="0" fontId="27" fillId="0" borderId="2" xfId="0" applyFont="1" applyBorder="1"/>
    <xf numFmtId="0" fontId="5" fillId="0" borderId="9" xfId="0" applyFont="1" applyBorder="1"/>
    <xf numFmtId="0" fontId="5" fillId="0" borderId="2" xfId="0" applyFont="1" applyBorder="1"/>
    <xf numFmtId="0" fontId="6" fillId="0" borderId="62" xfId="0" applyFont="1" applyBorder="1"/>
    <xf numFmtId="0" fontId="6" fillId="0" borderId="63" xfId="0" applyFont="1" applyBorder="1"/>
    <xf numFmtId="0" fontId="6" fillId="0" borderId="0" xfId="0" applyFont="1" applyFill="1" applyAlignment="1">
      <alignment horizontal="center"/>
    </xf>
    <xf numFmtId="0" fontId="6" fillId="0" borderId="0" xfId="0" applyFont="1" applyFill="1"/>
    <xf numFmtId="3" fontId="6" fillId="0" borderId="0" xfId="0" applyNumberFormat="1" applyFont="1"/>
    <xf numFmtId="3" fontId="26" fillId="0" borderId="0" xfId="0" applyNumberFormat="1" applyFont="1"/>
    <xf numFmtId="0" fontId="5" fillId="0" borderId="0" xfId="0" applyFont="1" applyFill="1" applyBorder="1" applyAlignment="1">
      <alignment wrapText="1"/>
    </xf>
    <xf numFmtId="0" fontId="5" fillId="0" borderId="64" xfId="0" applyFont="1" applyBorder="1"/>
    <xf numFmtId="0" fontId="4" fillId="0" borderId="30" xfId="0" applyFont="1" applyBorder="1" applyAlignment="1">
      <alignment horizontal="center" wrapText="1"/>
    </xf>
    <xf numFmtId="0" fontId="6" fillId="0" borderId="65" xfId="0" applyFont="1" applyBorder="1" applyAlignment="1">
      <alignment horizontal="left"/>
    </xf>
    <xf numFmtId="0" fontId="6" fillId="0" borderId="10" xfId="0" applyFont="1" applyBorder="1" applyAlignment="1">
      <alignment horizontal="left"/>
    </xf>
    <xf numFmtId="1" fontId="6" fillId="0" borderId="6" xfId="0" applyNumberFormat="1" applyFont="1" applyFill="1" applyBorder="1"/>
    <xf numFmtId="0" fontId="6" fillId="0" borderId="38" xfId="0" applyFont="1" applyBorder="1" applyAlignment="1">
      <alignment horizontal="left"/>
    </xf>
    <xf numFmtId="0" fontId="6" fillId="0" borderId="66" xfId="0" applyFont="1" applyBorder="1" applyAlignment="1">
      <alignment horizontal="left"/>
    </xf>
    <xf numFmtId="0" fontId="6" fillId="0" borderId="67" xfId="0" applyFont="1" applyBorder="1" applyAlignment="1">
      <alignment horizontal="left"/>
    </xf>
    <xf numFmtId="0" fontId="6" fillId="0" borderId="0" xfId="0" applyFont="1" applyBorder="1" applyAlignment="1">
      <alignment horizontal="left"/>
    </xf>
    <xf numFmtId="0" fontId="5" fillId="0" borderId="68" xfId="0" applyFont="1" applyFill="1" applyBorder="1" applyAlignment="1">
      <alignment wrapText="1"/>
    </xf>
    <xf numFmtId="0" fontId="5" fillId="0" borderId="69" xfId="0" applyFont="1" applyBorder="1"/>
    <xf numFmtId="0" fontId="5" fillId="0" borderId="17" xfId="0" applyFont="1" applyBorder="1"/>
    <xf numFmtId="0" fontId="6" fillId="0" borderId="21" xfId="0" applyFont="1" applyBorder="1"/>
    <xf numFmtId="0" fontId="6" fillId="0" borderId="58" xfId="0" applyFont="1" applyBorder="1"/>
    <xf numFmtId="0" fontId="5" fillId="0" borderId="58" xfId="0" applyFont="1" applyBorder="1"/>
    <xf numFmtId="0" fontId="5" fillId="0" borderId="70" xfId="0" applyFont="1" applyBorder="1"/>
    <xf numFmtId="1" fontId="6" fillId="0" borderId="31" xfId="0" applyNumberFormat="1" applyFont="1" applyFill="1" applyBorder="1"/>
    <xf numFmtId="0" fontId="7" fillId="0" borderId="0" xfId="0" applyFont="1" applyAlignment="1">
      <alignment wrapText="1"/>
    </xf>
    <xf numFmtId="0" fontId="5" fillId="0" borderId="0" xfId="0" applyFont="1" applyAlignment="1"/>
    <xf numFmtId="0" fontId="6" fillId="0" borderId="0" xfId="0" applyFont="1" applyAlignment="1">
      <alignment horizontal="center" wrapText="1"/>
    </xf>
    <xf numFmtId="164" fontId="7" fillId="0" borderId="0" xfId="0" applyNumberFormat="1" applyFont="1" applyFill="1"/>
    <xf numFmtId="164" fontId="5" fillId="0" borderId="0" xfId="0" applyNumberFormat="1" applyFont="1"/>
    <xf numFmtId="164" fontId="5" fillId="0" borderId="0" xfId="0" applyNumberFormat="1" applyFont="1" applyFill="1"/>
    <xf numFmtId="164" fontId="6" fillId="0" borderId="0" xfId="0" applyNumberFormat="1" applyFont="1"/>
    <xf numFmtId="164" fontId="6" fillId="0" borderId="0" xfId="0" applyNumberFormat="1" applyFont="1" applyFill="1"/>
    <xf numFmtId="0" fontId="5" fillId="0" borderId="71" xfId="0" applyFont="1" applyBorder="1"/>
    <xf numFmtId="0" fontId="12" fillId="0" borderId="0" xfId="0" applyFont="1"/>
    <xf numFmtId="0" fontId="12" fillId="0" borderId="0" xfId="0" applyFont="1" applyAlignment="1">
      <alignment horizontal="center"/>
    </xf>
    <xf numFmtId="0" fontId="6" fillId="0" borderId="75" xfId="0" applyFont="1" applyBorder="1" applyAlignment="1">
      <alignment horizontal="left"/>
    </xf>
    <xf numFmtId="0" fontId="5" fillId="0" borderId="1" xfId="0" applyFont="1" applyFill="1" applyBorder="1"/>
    <xf numFmtId="1" fontId="5" fillId="0" borderId="0" xfId="0" applyNumberFormat="1" applyFont="1"/>
    <xf numFmtId="0" fontId="5" fillId="0" borderId="10" xfId="0" applyFont="1" applyFill="1" applyBorder="1"/>
    <xf numFmtId="0" fontId="5" fillId="0" borderId="5" xfId="0" applyFont="1" applyBorder="1"/>
    <xf numFmtId="0" fontId="5" fillId="0" borderId="7" xfId="0" applyFont="1" applyBorder="1" applyAlignment="1">
      <alignment wrapText="1"/>
    </xf>
    <xf numFmtId="1" fontId="6" fillId="0" borderId="9" xfId="0" applyNumberFormat="1" applyFont="1" applyFill="1" applyBorder="1"/>
    <xf numFmtId="0" fontId="10" fillId="0" borderId="0" xfId="0" applyFont="1" applyAlignment="1">
      <alignment wrapText="1"/>
    </xf>
    <xf numFmtId="0" fontId="10" fillId="0" borderId="1" xfId="0" applyFont="1" applyBorder="1" applyAlignment="1">
      <alignment wrapText="1"/>
    </xf>
    <xf numFmtId="0" fontId="6" fillId="0" borderId="8" xfId="0" applyFont="1" applyBorder="1"/>
    <xf numFmtId="0" fontId="6" fillId="0" borderId="3" xfId="0" applyFont="1" applyBorder="1"/>
    <xf numFmtId="3" fontId="6" fillId="0" borderId="13" xfId="0" applyNumberFormat="1" applyFont="1" applyBorder="1"/>
    <xf numFmtId="0" fontId="22" fillId="0" borderId="0" xfId="0" applyFont="1"/>
    <xf numFmtId="0" fontId="30" fillId="0" borderId="0" xfId="0" applyFont="1" applyAlignment="1">
      <alignment horizontal="center"/>
    </xf>
    <xf numFmtId="3" fontId="10" fillId="0" borderId="9" xfId="0" applyNumberFormat="1" applyFont="1" applyFill="1" applyBorder="1"/>
    <xf numFmtId="0" fontId="30" fillId="0" borderId="0" xfId="0" applyFont="1"/>
    <xf numFmtId="0" fontId="11" fillId="0" borderId="0" xfId="0" applyFont="1"/>
    <xf numFmtId="0" fontId="31" fillId="0" borderId="0" xfId="0" applyFont="1" applyFill="1"/>
    <xf numFmtId="0" fontId="31" fillId="0" borderId="0" xfId="0" applyFont="1"/>
    <xf numFmtId="0" fontId="11" fillId="0" borderId="0" xfId="0" applyFont="1" applyAlignment="1">
      <alignment wrapText="1"/>
    </xf>
    <xf numFmtId="3" fontId="14" fillId="0" borderId="0" xfId="0" applyNumberFormat="1" applyFont="1" applyFill="1"/>
    <xf numFmtId="0" fontId="14" fillId="0" borderId="0" xfId="0" applyFont="1" applyFill="1"/>
    <xf numFmtId="0" fontId="32" fillId="0" borderId="0" xfId="0" applyFont="1"/>
    <xf numFmtId="0" fontId="33" fillId="0" borderId="0" xfId="0" applyFont="1"/>
    <xf numFmtId="0" fontId="14" fillId="0" borderId="0" xfId="0" applyFont="1" applyBorder="1"/>
    <xf numFmtId="0" fontId="14" fillId="0" borderId="0" xfId="0" applyFont="1" applyBorder="1" applyAlignment="1">
      <alignment wrapText="1"/>
    </xf>
    <xf numFmtId="3" fontId="14" fillId="0" borderId="0" xfId="0" applyNumberFormat="1" applyFont="1" applyFill="1" applyBorder="1"/>
    <xf numFmtId="0" fontId="11" fillId="0" borderId="0" xfId="0" applyFont="1" applyFill="1"/>
    <xf numFmtId="0" fontId="31" fillId="0" borderId="0" xfId="0" applyFont="1" applyAlignment="1">
      <alignment wrapText="1"/>
    </xf>
    <xf numFmtId="3" fontId="10" fillId="0" borderId="5" xfId="4" applyNumberFormat="1" applyFont="1" applyFill="1" applyBorder="1"/>
    <xf numFmtId="0" fontId="5" fillId="0" borderId="4" xfId="0" applyFont="1" applyFill="1" applyBorder="1"/>
    <xf numFmtId="0" fontId="29" fillId="0" borderId="0" xfId="0" applyFont="1" applyBorder="1" applyAlignment="1">
      <alignment horizontal="right" wrapText="1"/>
    </xf>
    <xf numFmtId="3" fontId="5" fillId="0" borderId="0" xfId="0" applyNumberFormat="1" applyFont="1" applyFill="1"/>
    <xf numFmtId="3" fontId="6" fillId="0" borderId="0" xfId="0" applyNumberFormat="1" applyFont="1" applyFill="1"/>
    <xf numFmtId="0" fontId="5" fillId="0" borderId="0" xfId="0" applyFont="1" applyFill="1" applyBorder="1" applyAlignment="1">
      <alignment horizontal="center" wrapText="1"/>
    </xf>
    <xf numFmtId="1" fontId="6" fillId="0" borderId="18" xfId="0" applyNumberFormat="1" applyFont="1" applyFill="1" applyBorder="1"/>
    <xf numFmtId="0" fontId="5" fillId="0" borderId="26" xfId="0" applyFont="1" applyFill="1" applyBorder="1" applyAlignment="1">
      <alignment horizontal="left" wrapText="1"/>
    </xf>
    <xf numFmtId="0" fontId="6" fillId="0" borderId="83" xfId="0" applyFont="1" applyBorder="1" applyAlignment="1">
      <alignment horizontal="left"/>
    </xf>
    <xf numFmtId="0" fontId="10" fillId="0" borderId="4" xfId="0" applyFont="1" applyFill="1" applyBorder="1"/>
    <xf numFmtId="0" fontId="5" fillId="0" borderId="84" xfId="0" applyFont="1" applyBorder="1" applyAlignment="1">
      <alignment horizontal="center" wrapText="1"/>
    </xf>
    <xf numFmtId="0" fontId="5" fillId="0" borderId="85" xfId="0" applyFont="1" applyBorder="1"/>
    <xf numFmtId="0" fontId="4" fillId="0" borderId="86" xfId="0" applyFont="1" applyBorder="1" applyAlignment="1">
      <alignment horizontal="center" wrapText="1"/>
    </xf>
    <xf numFmtId="3" fontId="6" fillId="2" borderId="2" xfId="0" applyNumberFormat="1" applyFont="1" applyFill="1" applyBorder="1"/>
    <xf numFmtId="0" fontId="4" fillId="0" borderId="27" xfId="0" applyFont="1" applyFill="1" applyBorder="1" applyAlignment="1">
      <alignment horizontal="center" wrapText="1"/>
    </xf>
    <xf numFmtId="0" fontId="4" fillId="0" borderId="92" xfId="0" applyFont="1" applyFill="1" applyBorder="1" applyAlignment="1">
      <alignment horizontal="center" wrapText="1"/>
    </xf>
    <xf numFmtId="0" fontId="39" fillId="0" borderId="93" xfId="0" applyFont="1" applyFill="1" applyBorder="1" applyAlignment="1">
      <alignment horizontal="center" wrapText="1"/>
    </xf>
    <xf numFmtId="0" fontId="10" fillId="0" borderId="1" xfId="0" applyFont="1" applyFill="1" applyBorder="1" applyAlignment="1">
      <alignment wrapText="1"/>
    </xf>
    <xf numFmtId="3" fontId="10" fillId="0" borderId="23" xfId="0" applyNumberFormat="1" applyFont="1" applyFill="1" applyBorder="1"/>
    <xf numFmtId="0" fontId="11" fillId="0" borderId="1" xfId="0" applyFont="1" applyBorder="1" applyAlignment="1">
      <alignment wrapText="1"/>
    </xf>
    <xf numFmtId="0" fontId="10" fillId="0" borderId="4" xfId="0" applyFont="1" applyFill="1" applyBorder="1" applyAlignment="1">
      <alignment wrapText="1"/>
    </xf>
    <xf numFmtId="3" fontId="11" fillId="0" borderId="5" xfId="0" applyNumberFormat="1" applyFont="1" applyFill="1" applyBorder="1"/>
    <xf numFmtId="0" fontId="11" fillId="0" borderId="1" xfId="0" applyFont="1" applyFill="1" applyBorder="1" applyAlignment="1">
      <alignment wrapText="1"/>
    </xf>
    <xf numFmtId="3" fontId="39" fillId="0" borderId="93" xfId="0" applyNumberFormat="1" applyFont="1" applyFill="1" applyBorder="1" applyAlignment="1">
      <alignment horizontal="center" wrapText="1"/>
    </xf>
    <xf numFmtId="0" fontId="10" fillId="0" borderId="12" xfId="0" applyFont="1" applyFill="1" applyBorder="1" applyAlignment="1">
      <alignment wrapText="1"/>
    </xf>
    <xf numFmtId="3" fontId="10" fillId="0" borderId="6" xfId="0" applyNumberFormat="1" applyFont="1" applyBorder="1"/>
    <xf numFmtId="0" fontId="38" fillId="0" borderId="2" xfId="0" applyFont="1" applyFill="1" applyBorder="1"/>
    <xf numFmtId="3" fontId="6" fillId="2" borderId="6" xfId="0" applyNumberFormat="1" applyFont="1" applyFill="1" applyBorder="1"/>
    <xf numFmtId="0" fontId="5" fillId="0" borderId="21" xfId="0" applyFont="1" applyBorder="1"/>
    <xf numFmtId="3" fontId="6" fillId="0" borderId="6" xfId="0" applyNumberFormat="1" applyFont="1" applyFill="1" applyBorder="1"/>
    <xf numFmtId="0" fontId="5" fillId="0" borderId="0" xfId="0" applyFont="1" applyBorder="1" applyAlignment="1">
      <alignment horizontal="right" wrapText="1"/>
    </xf>
    <xf numFmtId="0" fontId="5" fillId="0" borderId="1" xfId="0" applyFont="1" applyBorder="1" applyAlignment="1">
      <alignment wrapText="1"/>
    </xf>
    <xf numFmtId="3" fontId="5" fillId="0" borderId="23" xfId="0" applyNumberFormat="1" applyFont="1" applyFill="1" applyBorder="1" applyAlignment="1"/>
    <xf numFmtId="0" fontId="40" fillId="0" borderId="0" xfId="0" applyFont="1"/>
    <xf numFmtId="0" fontId="31" fillId="0" borderId="0" xfId="0" applyFont="1" applyAlignment="1">
      <alignment horizontal="right" wrapText="1"/>
    </xf>
    <xf numFmtId="3" fontId="31" fillId="0" borderId="0" xfId="0" applyNumberFormat="1" applyFont="1" applyFill="1"/>
    <xf numFmtId="3" fontId="42" fillId="0" borderId="0" xfId="0" applyNumberFormat="1" applyFont="1" applyFill="1"/>
    <xf numFmtId="0" fontId="43" fillId="0" borderId="0" xfId="0" applyFont="1"/>
    <xf numFmtId="3" fontId="23" fillId="0" borderId="24" xfId="0" applyNumberFormat="1" applyFont="1" applyFill="1" applyBorder="1"/>
    <xf numFmtId="0" fontId="10" fillId="0" borderId="27" xfId="0" applyFont="1" applyFill="1" applyBorder="1" applyAlignment="1">
      <alignment horizontal="center" wrapText="1"/>
    </xf>
    <xf numFmtId="3" fontId="12" fillId="0" borderId="20" xfId="0" applyNumberFormat="1" applyFont="1" applyFill="1" applyBorder="1"/>
    <xf numFmtId="4" fontId="12" fillId="0" borderId="30" xfId="0" applyNumberFormat="1" applyFont="1" applyFill="1" applyBorder="1" applyAlignment="1">
      <alignment wrapText="1"/>
    </xf>
    <xf numFmtId="3" fontId="12" fillId="0" borderId="13" xfId="0" applyNumberFormat="1" applyFont="1" applyFill="1" applyBorder="1"/>
    <xf numFmtId="3" fontId="11" fillId="0" borderId="96" xfId="0" applyNumberFormat="1" applyFont="1" applyFill="1" applyBorder="1"/>
    <xf numFmtId="0" fontId="5" fillId="0" borderId="15" xfId="0" applyFont="1" applyBorder="1" applyAlignment="1">
      <alignment wrapText="1"/>
    </xf>
    <xf numFmtId="0" fontId="5" fillId="0" borderId="16" xfId="0" applyFont="1" applyFill="1" applyBorder="1"/>
    <xf numFmtId="0" fontId="0" fillId="0" borderId="0" xfId="0" applyFill="1"/>
    <xf numFmtId="0" fontId="35" fillId="0" borderId="0" xfId="0" applyFont="1"/>
    <xf numFmtId="0" fontId="5" fillId="0" borderId="0" xfId="2" applyFont="1" applyFill="1" applyAlignment="1">
      <alignment horizontal="center"/>
    </xf>
    <xf numFmtId="49" fontId="5" fillId="0" borderId="74" xfId="2" applyNumberFormat="1" applyFont="1" applyFill="1" applyBorder="1" applyAlignment="1">
      <alignment horizontal="center"/>
    </xf>
    <xf numFmtId="49" fontId="5" fillId="0" borderId="60" xfId="2" applyNumberFormat="1" applyFont="1" applyFill="1" applyBorder="1" applyAlignment="1">
      <alignment horizontal="center"/>
    </xf>
    <xf numFmtId="49" fontId="5" fillId="0" borderId="64" xfId="2" applyNumberFormat="1" applyFont="1" applyFill="1" applyBorder="1" applyAlignment="1">
      <alignment horizontal="center"/>
    </xf>
    <xf numFmtId="49" fontId="5" fillId="0" borderId="54" xfId="2" applyNumberFormat="1" applyFont="1" applyFill="1" applyBorder="1" applyAlignment="1">
      <alignment horizontal="center"/>
    </xf>
    <xf numFmtId="0" fontId="5" fillId="0" borderId="1" xfId="2" applyFont="1" applyFill="1" applyBorder="1"/>
    <xf numFmtId="3" fontId="5" fillId="0" borderId="1" xfId="2" applyNumberFormat="1" applyFont="1" applyFill="1" applyBorder="1"/>
    <xf numFmtId="0" fontId="5" fillId="0" borderId="8" xfId="2" applyFont="1" applyFill="1" applyBorder="1"/>
    <xf numFmtId="0" fontId="6" fillId="0" borderId="30" xfId="2" applyFont="1" applyFill="1" applyBorder="1" applyAlignment="1">
      <alignment horizontal="right"/>
    </xf>
    <xf numFmtId="0" fontId="5" fillId="0" borderId="15" xfId="2" applyFont="1" applyFill="1" applyBorder="1"/>
    <xf numFmtId="0" fontId="5" fillId="0" borderId="34" xfId="2" applyFont="1" applyFill="1" applyBorder="1"/>
    <xf numFmtId="0" fontId="6" fillId="0" borderId="80" xfId="2" applyFont="1" applyFill="1" applyBorder="1" applyAlignment="1">
      <alignment horizontal="right"/>
    </xf>
    <xf numFmtId="0" fontId="5" fillId="0" borderId="34" xfId="2" applyFont="1" applyBorder="1"/>
    <xf numFmtId="0" fontId="44" fillId="0" borderId="34" xfId="2" applyFont="1" applyBorder="1"/>
    <xf numFmtId="49" fontId="5" fillId="0" borderId="60" xfId="0" applyNumberFormat="1" applyFont="1" applyFill="1" applyBorder="1" applyAlignment="1">
      <alignment horizontal="center"/>
    </xf>
    <xf numFmtId="3" fontId="5" fillId="0" borderId="4" xfId="2" applyNumberFormat="1" applyFont="1" applyFill="1" applyBorder="1"/>
    <xf numFmtId="3" fontId="5" fillId="0" borderId="0" xfId="2" applyNumberFormat="1" applyFont="1" applyFill="1"/>
    <xf numFmtId="3" fontId="5" fillId="0" borderId="10" xfId="2" applyNumberFormat="1" applyFont="1" applyFill="1" applyBorder="1"/>
    <xf numFmtId="3" fontId="5" fillId="0" borderId="0" xfId="2" applyNumberFormat="1" applyFont="1" applyFill="1" applyBorder="1"/>
    <xf numFmtId="3" fontId="5" fillId="0" borderId="0" xfId="2" applyNumberFormat="1" applyFont="1"/>
    <xf numFmtId="0" fontId="5" fillId="0" borderId="0" xfId="2" applyFont="1"/>
    <xf numFmtId="0" fontId="6"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wrapText="1"/>
    </xf>
    <xf numFmtId="49" fontId="6" fillId="0" borderId="0" xfId="0" applyNumberFormat="1" applyFont="1"/>
    <xf numFmtId="49" fontId="5" fillId="0" borderId="0" xfId="0" applyNumberFormat="1" applyFont="1" applyAlignment="1">
      <alignment wrapText="1"/>
    </xf>
    <xf numFmtId="0" fontId="6" fillId="0" borderId="39" xfId="0" applyFont="1" applyBorder="1"/>
    <xf numFmtId="0" fontId="46" fillId="0" borderId="41" xfId="0" applyFont="1" applyBorder="1" applyAlignment="1">
      <alignment horizontal="center" wrapText="1"/>
    </xf>
    <xf numFmtId="0" fontId="6" fillId="0" borderId="42" xfId="0" applyFont="1" applyBorder="1"/>
    <xf numFmtId="0" fontId="6" fillId="0" borderId="61" xfId="0" applyFont="1" applyFill="1" applyBorder="1"/>
    <xf numFmtId="0" fontId="6" fillId="0" borderId="103" xfId="0" applyFont="1" applyFill="1" applyBorder="1"/>
    <xf numFmtId="1" fontId="38" fillId="0" borderId="6" xfId="0" applyNumberFormat="1" applyFont="1" applyBorder="1"/>
    <xf numFmtId="0" fontId="38" fillId="0" borderId="6" xfId="0" applyFont="1" applyBorder="1"/>
    <xf numFmtId="0" fontId="48" fillId="0" borderId="0" xfId="0" applyFont="1" applyAlignment="1">
      <alignment wrapText="1"/>
    </xf>
    <xf numFmtId="1" fontId="47" fillId="0" borderId="105" xfId="0" applyNumberFormat="1" applyFont="1" applyFill="1" applyBorder="1"/>
    <xf numFmtId="1" fontId="47" fillId="0" borderId="18" xfId="0" applyNumberFormat="1" applyFont="1" applyFill="1" applyBorder="1"/>
    <xf numFmtId="0" fontId="5" fillId="0" borderId="104" xfId="0" applyFont="1" applyBorder="1" applyAlignment="1">
      <alignment wrapText="1"/>
    </xf>
    <xf numFmtId="1" fontId="6" fillId="0" borderId="0" xfId="0" applyNumberFormat="1" applyFont="1" applyFill="1" applyBorder="1"/>
    <xf numFmtId="1" fontId="6" fillId="0" borderId="106" xfId="0" applyNumberFormat="1" applyFont="1" applyFill="1" applyBorder="1"/>
    <xf numFmtId="1" fontId="6" fillId="0" borderId="108" xfId="0" applyNumberFormat="1" applyFont="1" applyBorder="1"/>
    <xf numFmtId="1" fontId="6" fillId="0" borderId="109" xfId="0" applyNumberFormat="1" applyFont="1" applyFill="1" applyBorder="1"/>
    <xf numFmtId="1" fontId="6" fillId="0" borderId="110" xfId="0" applyNumberFormat="1" applyFont="1" applyFill="1" applyBorder="1"/>
    <xf numFmtId="0" fontId="41" fillId="0" borderId="0" xfId="0" applyFont="1"/>
    <xf numFmtId="0" fontId="41" fillId="0" borderId="0" xfId="0" applyFont="1" applyFill="1"/>
    <xf numFmtId="1" fontId="41" fillId="0" borderId="0" xfId="0" applyNumberFormat="1" applyFont="1"/>
    <xf numFmtId="0" fontId="41" fillId="0" borderId="0" xfId="0" applyFont="1" applyAlignment="1">
      <alignment wrapText="1"/>
    </xf>
    <xf numFmtId="0" fontId="10" fillId="0" borderId="9" xfId="4" applyFont="1" applyBorder="1" applyAlignment="1">
      <alignment horizontal="left" wrapText="1"/>
    </xf>
    <xf numFmtId="0" fontId="6" fillId="0" borderId="57" xfId="0" applyFont="1" applyFill="1" applyBorder="1"/>
    <xf numFmtId="0" fontId="24" fillId="0" borderId="0" xfId="0" applyFont="1" applyFill="1" applyBorder="1"/>
    <xf numFmtId="1" fontId="24" fillId="0" borderId="0" xfId="0" applyNumberFormat="1" applyFont="1" applyFill="1" applyBorder="1"/>
    <xf numFmtId="3" fontId="41" fillId="0" borderId="0" xfId="0" applyNumberFormat="1" applyFont="1" applyBorder="1"/>
    <xf numFmtId="3" fontId="41" fillId="0" borderId="0" xfId="0" applyNumberFormat="1" applyFont="1"/>
    <xf numFmtId="3" fontId="41" fillId="0" borderId="0" xfId="0" applyNumberFormat="1" applyFont="1" applyBorder="1" applyAlignment="1">
      <alignment horizontal="right" wrapText="1"/>
    </xf>
    <xf numFmtId="0" fontId="6" fillId="0" borderId="55" xfId="0" applyFont="1" applyFill="1" applyBorder="1"/>
    <xf numFmtId="0" fontId="4" fillId="0" borderId="1" xfId="0" applyFont="1" applyBorder="1" applyAlignment="1">
      <alignment wrapText="1"/>
    </xf>
    <xf numFmtId="0" fontId="4" fillId="0" borderId="1" xfId="0" applyFont="1" applyBorder="1"/>
    <xf numFmtId="3" fontId="10" fillId="0" borderId="1" xfId="0" applyNumberFormat="1" applyFont="1" applyBorder="1"/>
    <xf numFmtId="0" fontId="10" fillId="0" borderId="10" xfId="0" applyFont="1" applyBorder="1" applyAlignment="1">
      <alignment wrapText="1"/>
    </xf>
    <xf numFmtId="0" fontId="10" fillId="0" borderId="1" xfId="0" applyFont="1" applyBorder="1" applyAlignment="1">
      <alignment horizontal="right" wrapText="1"/>
    </xf>
    <xf numFmtId="0" fontId="11" fillId="0" borderId="1" xfId="0" applyFont="1" applyBorder="1"/>
    <xf numFmtId="0" fontId="11" fillId="0" borderId="1" xfId="4" applyFont="1" applyBorder="1"/>
    <xf numFmtId="3" fontId="10" fillId="0" borderId="0" xfId="0" applyNumberFormat="1" applyFont="1"/>
    <xf numFmtId="0" fontId="10" fillId="0" borderId="0" xfId="0" applyFont="1" applyAlignment="1">
      <alignment horizontal="right"/>
    </xf>
    <xf numFmtId="1" fontId="38" fillId="0" borderId="2" xfId="0" applyNumberFormat="1" applyFont="1" applyFill="1" applyBorder="1"/>
    <xf numFmtId="49" fontId="6" fillId="0" borderId="0" xfId="0" applyNumberFormat="1" applyFont="1" applyBorder="1" applyAlignment="1">
      <alignment horizontal="center" wrapText="1"/>
    </xf>
    <xf numFmtId="0" fontId="27" fillId="0" borderId="0" xfId="0" applyFont="1" applyFill="1" applyBorder="1" applyAlignment="1">
      <alignment horizontal="right"/>
    </xf>
    <xf numFmtId="0" fontId="27" fillId="0" borderId="0" xfId="0" applyFont="1" applyFill="1" applyBorder="1" applyAlignment="1">
      <alignment horizontal="right" wrapText="1"/>
    </xf>
    <xf numFmtId="3" fontId="10" fillId="3" borderId="6" xfId="0" applyNumberFormat="1" applyFont="1" applyFill="1" applyBorder="1"/>
    <xf numFmtId="3" fontId="10" fillId="3" borderId="81" xfId="0" applyNumberFormat="1" applyFont="1" applyFill="1" applyBorder="1"/>
    <xf numFmtId="3" fontId="12" fillId="3" borderId="18" xfId="0" applyNumberFormat="1" applyFont="1" applyFill="1" applyBorder="1"/>
    <xf numFmtId="3" fontId="10" fillId="3" borderId="5" xfId="0" applyNumberFormat="1" applyFont="1" applyFill="1" applyBorder="1"/>
    <xf numFmtId="3" fontId="16" fillId="0" borderId="0" xfId="0" applyNumberFormat="1" applyFont="1" applyFill="1" applyBorder="1"/>
    <xf numFmtId="0" fontId="50" fillId="0" borderId="7" xfId="0" applyFont="1" applyFill="1" applyBorder="1" applyAlignment="1">
      <alignment horizontal="left" vertical="center" wrapText="1"/>
    </xf>
    <xf numFmtId="3" fontId="10" fillId="0" borderId="9" xfId="0" applyNumberFormat="1" applyFont="1" applyBorder="1"/>
    <xf numFmtId="3" fontId="11" fillId="0" borderId="23" xfId="0" applyNumberFormat="1" applyFont="1" applyBorder="1"/>
    <xf numFmtId="0" fontId="14" fillId="0" borderId="15" xfId="0" applyFont="1" applyBorder="1"/>
    <xf numFmtId="0" fontId="14" fillId="0" borderId="80" xfId="0" applyFont="1" applyBorder="1" applyAlignment="1">
      <alignment wrapText="1"/>
    </xf>
    <xf numFmtId="3" fontId="14" fillId="0" borderId="77" xfId="0" applyNumberFormat="1" applyFont="1" applyFill="1" applyBorder="1"/>
    <xf numFmtId="0" fontId="6" fillId="0" borderId="1" xfId="0" applyFont="1" applyBorder="1" applyAlignment="1">
      <alignment horizontal="left" wrapText="1"/>
    </xf>
    <xf numFmtId="0" fontId="50" fillId="0" borderId="1" xfId="0" applyFont="1" applyBorder="1" applyAlignment="1">
      <alignment horizontal="left" wrapText="1"/>
    </xf>
    <xf numFmtId="0" fontId="5" fillId="0" borderId="1" xfId="4" applyFont="1" applyBorder="1" applyAlignment="1">
      <alignment horizontal="left" wrapText="1"/>
    </xf>
    <xf numFmtId="49" fontId="36" fillId="0" borderId="7" xfId="2" applyNumberFormat="1" applyFont="1" applyBorder="1"/>
    <xf numFmtId="1" fontId="38" fillId="0" borderId="111" xfId="0" applyNumberFormat="1" applyFont="1" applyBorder="1"/>
    <xf numFmtId="0" fontId="5" fillId="0" borderId="1" xfId="0"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horizontal="left" wrapText="1"/>
    </xf>
    <xf numFmtId="3" fontId="5" fillId="0" borderId="1" xfId="0" applyNumberFormat="1" applyFont="1" applyFill="1" applyBorder="1"/>
    <xf numFmtId="3" fontId="6" fillId="3" borderId="1" xfId="0" applyNumberFormat="1" applyFont="1" applyFill="1" applyBorder="1"/>
    <xf numFmtId="0" fontId="5" fillId="0" borderId="1" xfId="0" applyFont="1" applyBorder="1" applyAlignment="1">
      <alignment horizontal="left" vertical="top" wrapText="1"/>
    </xf>
    <xf numFmtId="3" fontId="5" fillId="0" borderId="1" xfId="0" applyNumberFormat="1" applyFont="1" applyFill="1" applyBorder="1" applyAlignment="1">
      <alignment horizontal="right" vertical="top" wrapText="1"/>
    </xf>
    <xf numFmtId="3" fontId="5" fillId="0" borderId="1" xfId="0" applyNumberFormat="1" applyFont="1" applyFill="1" applyBorder="1" applyAlignment="1">
      <alignment horizontal="right" wrapText="1"/>
    </xf>
    <xf numFmtId="3" fontId="5" fillId="3" borderId="1" xfId="0" applyNumberFormat="1" applyFont="1" applyFill="1" applyBorder="1" applyAlignment="1">
      <alignment horizontal="right" wrapText="1"/>
    </xf>
    <xf numFmtId="0" fontId="5" fillId="0" borderId="1" xfId="0" applyFont="1" applyBorder="1" applyAlignment="1">
      <alignment vertical="top" wrapText="1"/>
    </xf>
    <xf numFmtId="3" fontId="51" fillId="0" borderId="1" xfId="0" applyNumberFormat="1" applyFont="1" applyBorder="1"/>
    <xf numFmtId="3" fontId="5" fillId="0" borderId="1" xfId="0" applyNumberFormat="1" applyFont="1" applyFill="1" applyBorder="1" applyAlignment="1"/>
    <xf numFmtId="0" fontId="5" fillId="0" borderId="1" xfId="0" applyFont="1" applyFill="1" applyBorder="1" applyAlignment="1">
      <alignment horizontal="left" wrapText="1"/>
    </xf>
    <xf numFmtId="3" fontId="6" fillId="0" borderId="1" xfId="0" applyNumberFormat="1" applyFont="1" applyBorder="1"/>
    <xf numFmtId="3" fontId="6" fillId="0" borderId="1" xfId="0" applyNumberFormat="1" applyFont="1" applyFill="1" applyBorder="1"/>
    <xf numFmtId="0" fontId="5" fillId="0" borderId="1" xfId="4" applyFont="1" applyBorder="1" applyAlignment="1">
      <alignment wrapText="1"/>
    </xf>
    <xf numFmtId="0" fontId="5" fillId="0" borderId="1" xfId="4" applyFont="1" applyFill="1" applyBorder="1" applyAlignment="1">
      <alignment wrapText="1"/>
    </xf>
    <xf numFmtId="43" fontId="5" fillId="0" borderId="1" xfId="6" applyFont="1" applyBorder="1" applyAlignment="1">
      <alignment horizontal="left" wrapText="1"/>
    </xf>
    <xf numFmtId="0" fontId="5" fillId="0" borderId="1" xfId="0" applyFont="1" applyBorder="1" applyAlignment="1">
      <alignment horizontal="justify" vertical="center"/>
    </xf>
    <xf numFmtId="0" fontId="5" fillId="0" borderId="7" xfId="0" applyFont="1" applyFill="1" applyBorder="1" applyAlignment="1">
      <alignment horizontal="left" vertical="center" wrapText="1"/>
    </xf>
    <xf numFmtId="0" fontId="11" fillId="0" borderId="22" xfId="0" applyFont="1" applyFill="1" applyBorder="1" applyAlignment="1"/>
    <xf numFmtId="3" fontId="11" fillId="0" borderId="23" xfId="0" applyNumberFormat="1" applyFont="1" applyFill="1" applyBorder="1"/>
    <xf numFmtId="0" fontId="14" fillId="0" borderId="0" xfId="0" applyFont="1"/>
    <xf numFmtId="0" fontId="14" fillId="0" borderId="0" xfId="0" applyFont="1" applyAlignment="1">
      <alignment wrapText="1"/>
    </xf>
    <xf numFmtId="0" fontId="5" fillId="0" borderId="0" xfId="0" applyFont="1" applyAlignment="1">
      <alignment horizontal="center"/>
    </xf>
    <xf numFmtId="0" fontId="6" fillId="0" borderId="48" xfId="0" applyFont="1" applyFill="1" applyBorder="1"/>
    <xf numFmtId="0" fontId="24" fillId="0" borderId="6" xfId="0" applyFont="1" applyFill="1" applyBorder="1"/>
    <xf numFmtId="0" fontId="6" fillId="0" borderId="112" xfId="0" applyFont="1" applyFill="1" applyBorder="1"/>
    <xf numFmtId="0" fontId="24" fillId="0" borderId="69" xfId="0" applyFont="1" applyBorder="1"/>
    <xf numFmtId="0" fontId="5" fillId="0" borderId="36" xfId="0" applyFont="1" applyBorder="1" applyAlignment="1">
      <alignment wrapText="1"/>
    </xf>
    <xf numFmtId="0" fontId="55" fillId="0" borderId="0" xfId="0" applyFont="1"/>
    <xf numFmtId="3" fontId="5" fillId="0" borderId="1" xfId="0" applyNumberFormat="1" applyFont="1" applyFill="1" applyBorder="1" applyAlignment="1">
      <alignment wrapText="1"/>
    </xf>
    <xf numFmtId="0" fontId="5" fillId="0" borderId="0" xfId="0" applyFont="1" applyBorder="1" applyAlignment="1">
      <alignment horizontal="left"/>
    </xf>
    <xf numFmtId="0" fontId="6" fillId="0" borderId="59" xfId="0" applyFont="1" applyFill="1" applyBorder="1"/>
    <xf numFmtId="3" fontId="5" fillId="0" borderId="0" xfId="0" applyNumberFormat="1" applyFont="1" applyFill="1" applyBorder="1"/>
    <xf numFmtId="0" fontId="16" fillId="0" borderId="0" xfId="0" applyFont="1" applyFill="1" applyBorder="1"/>
    <xf numFmtId="0" fontId="57" fillId="0" borderId="0" xfId="0" applyFont="1" applyFill="1"/>
    <xf numFmtId="0" fontId="10" fillId="0" borderId="76" xfId="0" applyFont="1" applyFill="1" applyBorder="1" applyAlignment="1">
      <alignment wrapText="1"/>
    </xf>
    <xf numFmtId="0" fontId="16" fillId="0" borderId="0" xfId="0" applyFont="1" applyBorder="1"/>
    <xf numFmtId="3" fontId="16" fillId="0" borderId="0" xfId="0" applyNumberFormat="1" applyFont="1" applyFill="1" applyBorder="1" applyAlignment="1">
      <alignment horizontal="right"/>
    </xf>
    <xf numFmtId="3" fontId="16" fillId="0" borderId="0" xfId="0" applyNumberFormat="1" applyFont="1" applyBorder="1" applyAlignment="1">
      <alignment horizontal="right"/>
    </xf>
    <xf numFmtId="3" fontId="10" fillId="0" borderId="0" xfId="0" applyNumberFormat="1" applyFont="1" applyBorder="1"/>
    <xf numFmtId="3" fontId="5" fillId="0" borderId="0" xfId="0" applyNumberFormat="1" applyFont="1" applyBorder="1"/>
    <xf numFmtId="3" fontId="16" fillId="0" borderId="0" xfId="4" applyNumberFormat="1" applyFont="1" applyFill="1" applyBorder="1"/>
    <xf numFmtId="3" fontId="5" fillId="0" borderId="0" xfId="0" applyNumberFormat="1" applyFont="1" applyFill="1" applyBorder="1" applyAlignment="1"/>
    <xf numFmtId="3" fontId="5" fillId="0" borderId="0" xfId="0" applyNumberFormat="1" applyFont="1"/>
    <xf numFmtId="3" fontId="5" fillId="0" borderId="0" xfId="0" applyNumberFormat="1" applyFont="1" applyFill="1" applyBorder="1" applyAlignment="1">
      <alignment horizontal="right" vertical="top" wrapText="1"/>
    </xf>
    <xf numFmtId="1" fontId="51" fillId="0" borderId="1" xfId="0" applyNumberFormat="1" applyFont="1" applyBorder="1"/>
    <xf numFmtId="0" fontId="10" fillId="0" borderId="1" xfId="0" applyFont="1" applyBorder="1" applyAlignment="1">
      <alignment vertical="center"/>
    </xf>
    <xf numFmtId="0" fontId="50" fillId="0" borderId="22" xfId="0" applyFont="1" applyFill="1" applyBorder="1" applyAlignment="1">
      <alignment horizontal="left" wrapText="1"/>
    </xf>
    <xf numFmtId="3" fontId="17" fillId="0" borderId="0" xfId="0" applyNumberFormat="1" applyFont="1" applyBorder="1"/>
    <xf numFmtId="0" fontId="17" fillId="0" borderId="0" xfId="0" applyFont="1" applyFill="1" applyBorder="1" applyAlignment="1">
      <alignment horizontal="center" wrapText="1"/>
    </xf>
    <xf numFmtId="3" fontId="17" fillId="0" borderId="0" xfId="0" applyNumberFormat="1" applyFont="1"/>
    <xf numFmtId="0" fontId="58" fillId="0" borderId="1" xfId="0" applyFont="1" applyFill="1" applyBorder="1" applyAlignment="1">
      <alignment wrapText="1"/>
    </xf>
    <xf numFmtId="0" fontId="17" fillId="0" borderId="0" xfId="0" applyFont="1"/>
    <xf numFmtId="0" fontId="55" fillId="0" borderId="0" xfId="0" applyFont="1" applyFill="1" applyBorder="1" applyAlignment="1">
      <alignment horizontal="center" wrapText="1"/>
    </xf>
    <xf numFmtId="3" fontId="11" fillId="0" borderId="0" xfId="0" applyNumberFormat="1" applyFont="1" applyBorder="1"/>
    <xf numFmtId="3" fontId="52" fillId="0" borderId="0" xfId="0" applyNumberFormat="1" applyFont="1"/>
    <xf numFmtId="0" fontId="34" fillId="0" borderId="0" xfId="0" applyFont="1" applyFill="1" applyBorder="1" applyAlignment="1">
      <alignment wrapText="1"/>
    </xf>
    <xf numFmtId="0" fontId="10" fillId="2" borderId="1" xfId="0" applyFont="1" applyFill="1" applyBorder="1"/>
    <xf numFmtId="3" fontId="40" fillId="0" borderId="0" xfId="0" applyNumberFormat="1" applyFont="1" applyFill="1" applyBorder="1"/>
    <xf numFmtId="0" fontId="40" fillId="0" borderId="0" xfId="0" applyFont="1" applyFill="1" applyBorder="1" applyAlignment="1">
      <alignment wrapText="1"/>
    </xf>
    <xf numFmtId="3" fontId="30" fillId="0" borderId="0" xfId="0" applyNumberFormat="1" applyFont="1" applyFill="1" applyBorder="1"/>
    <xf numFmtId="0" fontId="40" fillId="0" borderId="0" xfId="0" applyFont="1" applyBorder="1" applyAlignment="1">
      <alignment wrapText="1"/>
    </xf>
    <xf numFmtId="0" fontId="5" fillId="0" borderId="10" xfId="4" applyFont="1" applyFill="1" applyBorder="1" applyAlignment="1">
      <alignment wrapText="1"/>
    </xf>
    <xf numFmtId="0" fontId="5" fillId="0" borderId="4" xfId="4" applyFont="1" applyBorder="1" applyAlignment="1">
      <alignment wrapText="1"/>
    </xf>
    <xf numFmtId="0" fontId="59" fillId="0" borderId="0" xfId="0" applyFont="1" applyAlignment="1">
      <alignment horizontal="right"/>
    </xf>
    <xf numFmtId="0" fontId="53" fillId="0" borderId="0" xfId="0" applyFont="1"/>
    <xf numFmtId="1" fontId="53" fillId="0" borderId="0" xfId="0" applyNumberFormat="1" applyFont="1"/>
    <xf numFmtId="1" fontId="55" fillId="0" borderId="0" xfId="0" applyNumberFormat="1" applyFont="1"/>
    <xf numFmtId="0" fontId="55" fillId="0" borderId="0" xfId="0" applyFont="1" applyFill="1"/>
    <xf numFmtId="0" fontId="53" fillId="0" borderId="0" xfId="0" applyFont="1" applyFill="1" applyAlignment="1">
      <alignment horizontal="center"/>
    </xf>
    <xf numFmtId="1" fontId="55" fillId="0" borderId="0" xfId="0" applyNumberFormat="1" applyFont="1" applyAlignment="1">
      <alignment horizontal="right"/>
    </xf>
    <xf numFmtId="0" fontId="53" fillId="0" borderId="0" xfId="0" applyFont="1" applyAlignment="1">
      <alignment horizontal="right" wrapText="1"/>
    </xf>
    <xf numFmtId="0" fontId="61" fillId="0" borderId="0" xfId="0" applyFont="1" applyFill="1" applyAlignment="1">
      <alignment horizontal="center" wrapText="1"/>
    </xf>
    <xf numFmtId="0" fontId="62" fillId="0" borderId="0" xfId="0" applyFont="1"/>
    <xf numFmtId="0" fontId="10" fillId="0" borderId="1" xfId="0" applyFont="1" applyFill="1" applyBorder="1"/>
    <xf numFmtId="3" fontId="5" fillId="0" borderId="88" xfId="0" applyNumberFormat="1" applyFont="1" applyFill="1" applyBorder="1"/>
    <xf numFmtId="0" fontId="60" fillId="0" borderId="0" xfId="0" applyFont="1"/>
    <xf numFmtId="0" fontId="10" fillId="0" borderId="0" xfId="0" applyFont="1" applyBorder="1"/>
    <xf numFmtId="0" fontId="5" fillId="0" borderId="0" xfId="0" applyFont="1" applyAlignment="1">
      <alignment horizontal="center"/>
    </xf>
    <xf numFmtId="0" fontId="6" fillId="0" borderId="0" xfId="2" applyFont="1"/>
    <xf numFmtId="0" fontId="19" fillId="0" borderId="0" xfId="2" applyFont="1" applyAlignment="1">
      <alignment horizontal="center"/>
    </xf>
    <xf numFmtId="49" fontId="19" fillId="0" borderId="0" xfId="2" applyNumberFormat="1" applyFont="1" applyAlignment="1">
      <alignment horizontal="center"/>
    </xf>
    <xf numFmtId="0" fontId="16" fillId="0" borderId="0" xfId="2" applyFont="1" applyAlignment="1">
      <alignment horizontal="center"/>
    </xf>
    <xf numFmtId="49" fontId="24" fillId="0" borderId="101" xfId="2" applyNumberFormat="1" applyFont="1" applyBorder="1" applyAlignment="1">
      <alignment horizontal="center"/>
    </xf>
    <xf numFmtId="49" fontId="5" fillId="0" borderId="56" xfId="2" applyNumberFormat="1" applyFont="1" applyFill="1" applyBorder="1" applyAlignment="1">
      <alignment horizontal="center"/>
    </xf>
    <xf numFmtId="1" fontId="45" fillId="0" borderId="97" xfId="2" applyNumberFormat="1" applyFont="1" applyBorder="1" applyAlignment="1">
      <alignment horizontal="center" wrapText="1"/>
    </xf>
    <xf numFmtId="0" fontId="40" fillId="0" borderId="73" xfId="2" applyFont="1" applyBorder="1" applyAlignment="1">
      <alignment horizontal="center" wrapText="1"/>
    </xf>
    <xf numFmtId="0" fontId="40" fillId="3" borderId="73" xfId="2" applyFont="1" applyFill="1" applyBorder="1" applyAlignment="1">
      <alignment horizontal="center" wrapText="1"/>
    </xf>
    <xf numFmtId="0" fontId="40" fillId="0" borderId="73" xfId="2" applyFont="1" applyFill="1" applyBorder="1" applyAlignment="1">
      <alignment horizontal="center" wrapText="1"/>
    </xf>
    <xf numFmtId="0" fontId="5" fillId="0" borderId="98" xfId="2" applyFont="1" applyBorder="1"/>
    <xf numFmtId="0" fontId="5" fillId="0" borderId="9" xfId="2" applyFont="1" applyBorder="1"/>
    <xf numFmtId="0" fontId="5" fillId="0" borderId="28" xfId="2" applyFont="1" applyBorder="1"/>
    <xf numFmtId="0" fontId="5" fillId="0" borderId="20" xfId="2" applyFont="1" applyBorder="1"/>
    <xf numFmtId="0" fontId="6" fillId="0" borderId="30" xfId="2" applyFont="1" applyBorder="1" applyAlignment="1">
      <alignment horizontal="right"/>
    </xf>
    <xf numFmtId="0" fontId="5" fillId="0" borderId="97" xfId="2" applyFont="1" applyBorder="1"/>
    <xf numFmtId="0" fontId="5" fillId="0" borderId="0" xfId="2" applyFont="1" applyBorder="1"/>
    <xf numFmtId="3" fontId="36" fillId="0" borderId="0" xfId="2" applyNumberFormat="1" applyFont="1"/>
    <xf numFmtId="0" fontId="6" fillId="0" borderId="8" xfId="2" applyFont="1" applyBorder="1"/>
    <xf numFmtId="0" fontId="6" fillId="0" borderId="3" xfId="2" applyFont="1" applyBorder="1"/>
    <xf numFmtId="0" fontId="5" fillId="0" borderId="1" xfId="2" applyFont="1" applyBorder="1"/>
    <xf numFmtId="3" fontId="5" fillId="0" borderId="1" xfId="2" applyNumberFormat="1" applyFont="1" applyBorder="1"/>
    <xf numFmtId="3" fontId="5" fillId="0" borderId="34" xfId="2" applyNumberFormat="1" applyFont="1" applyBorder="1"/>
    <xf numFmtId="3" fontId="6" fillId="0" borderId="2" xfId="2" applyNumberFormat="1" applyFont="1" applyBorder="1"/>
    <xf numFmtId="0" fontId="5" fillId="0" borderId="22" xfId="2" applyFont="1" applyBorder="1"/>
    <xf numFmtId="3" fontId="6" fillId="0" borderId="31" xfId="2" applyNumberFormat="1" applyFont="1" applyBorder="1"/>
    <xf numFmtId="0" fontId="6" fillId="0" borderId="15" xfId="2" applyFont="1" applyBorder="1"/>
    <xf numFmtId="0" fontId="6" fillId="0" borderId="16" xfId="2" applyFont="1" applyBorder="1"/>
    <xf numFmtId="0" fontId="6" fillId="0" borderId="80" xfId="2" applyFont="1" applyBorder="1" applyAlignment="1">
      <alignment horizontal="right"/>
    </xf>
    <xf numFmtId="49" fontId="36" fillId="0" borderId="0" xfId="2" applyNumberFormat="1" applyFont="1"/>
    <xf numFmtId="0" fontId="37" fillId="0" borderId="0" xfId="2" applyFont="1"/>
    <xf numFmtId="49" fontId="36" fillId="0" borderId="0" xfId="2" applyNumberFormat="1" applyFont="1" applyAlignment="1">
      <alignment horizontal="center"/>
    </xf>
    <xf numFmtId="49" fontId="67" fillId="0" borderId="0" xfId="2" applyNumberFormat="1" applyFont="1" applyAlignment="1">
      <alignment horizontal="center"/>
    </xf>
    <xf numFmtId="0" fontId="67" fillId="0" borderId="0" xfId="2" applyFont="1" applyAlignment="1">
      <alignment horizontal="center"/>
    </xf>
    <xf numFmtId="0" fontId="36" fillId="0" borderId="0" xfId="2" applyFont="1"/>
    <xf numFmtId="0" fontId="36" fillId="0" borderId="0" xfId="2" applyFont="1" applyAlignment="1">
      <alignment horizontal="center"/>
    </xf>
    <xf numFmtId="49" fontId="37" fillId="0" borderId="87" xfId="2" applyNumberFormat="1" applyFont="1" applyBorder="1" applyAlignment="1">
      <alignment horizontal="center"/>
    </xf>
    <xf numFmtId="49" fontId="37" fillId="0" borderId="74" xfId="2" applyNumberFormat="1" applyFont="1" applyBorder="1" applyAlignment="1">
      <alignment horizontal="center"/>
    </xf>
    <xf numFmtId="0" fontId="68" fillId="0" borderId="74" xfId="2" applyFont="1" applyBorder="1" applyAlignment="1">
      <alignment horizontal="center"/>
    </xf>
    <xf numFmtId="0" fontId="65" fillId="0" borderId="0" xfId="2" applyFont="1" applyAlignment="1">
      <alignment horizontal="center"/>
    </xf>
    <xf numFmtId="0" fontId="38" fillId="0" borderId="0" xfId="2" applyFont="1"/>
    <xf numFmtId="0" fontId="38" fillId="0" borderId="12" xfId="2" applyFont="1" applyBorder="1"/>
    <xf numFmtId="0" fontId="38" fillId="0" borderId="4" xfId="2" applyFont="1" applyBorder="1"/>
    <xf numFmtId="0" fontId="36" fillId="0" borderId="1" xfId="2" applyFont="1" applyBorder="1"/>
    <xf numFmtId="1" fontId="36" fillId="0" borderId="4" xfId="2" applyNumberFormat="1" applyFont="1" applyBorder="1"/>
    <xf numFmtId="1" fontId="36" fillId="0" borderId="4" xfId="2" applyNumberFormat="1" applyFont="1" applyFill="1" applyBorder="1"/>
    <xf numFmtId="1" fontId="36" fillId="0" borderId="23" xfId="2" applyNumberFormat="1" applyFont="1" applyBorder="1"/>
    <xf numFmtId="1" fontId="36" fillId="0" borderId="32" xfId="2" applyNumberFormat="1" applyFont="1" applyBorder="1"/>
    <xf numFmtId="0" fontId="36" fillId="0" borderId="22" xfId="2" applyFont="1" applyBorder="1"/>
    <xf numFmtId="0" fontId="29" fillId="0" borderId="8" xfId="2" applyFont="1" applyBorder="1"/>
    <xf numFmtId="0" fontId="29" fillId="0" borderId="3" xfId="2" applyFont="1" applyBorder="1"/>
    <xf numFmtId="1" fontId="29" fillId="0" borderId="31" xfId="2" applyNumberFormat="1" applyFont="1" applyBorder="1"/>
    <xf numFmtId="0" fontId="29" fillId="0" borderId="0" xfId="2" applyFont="1"/>
    <xf numFmtId="0" fontId="29" fillId="0" borderId="15" xfId="2" applyFont="1" applyBorder="1"/>
    <xf numFmtId="0" fontId="29" fillId="0" borderId="16" xfId="2" applyFont="1" applyBorder="1"/>
    <xf numFmtId="1" fontId="71" fillId="0" borderId="69" xfId="2" applyNumberFormat="1" applyFont="1" applyBorder="1"/>
    <xf numFmtId="49" fontId="29" fillId="0" borderId="0" xfId="2" applyNumberFormat="1" applyFont="1" applyBorder="1"/>
    <xf numFmtId="0" fontId="29" fillId="0" borderId="0" xfId="2" applyFont="1" applyBorder="1"/>
    <xf numFmtId="1" fontId="71" fillId="0" borderId="0" xfId="2" applyNumberFormat="1" applyFont="1" applyBorder="1"/>
    <xf numFmtId="0" fontId="65" fillId="0" borderId="0" xfId="2" applyFont="1"/>
    <xf numFmtId="1" fontId="36" fillId="0" borderId="0" xfId="2" applyNumberFormat="1" applyFont="1"/>
    <xf numFmtId="1" fontId="3" fillId="0" borderId="4" xfId="2" applyNumberFormat="1" applyFont="1" applyBorder="1"/>
    <xf numFmtId="0" fontId="69" fillId="0" borderId="36" xfId="2" applyFont="1" applyBorder="1"/>
    <xf numFmtId="0" fontId="36" fillId="0" borderId="7" xfId="2" applyFont="1" applyBorder="1"/>
    <xf numFmtId="0" fontId="37" fillId="0" borderId="3" xfId="2" applyFont="1" applyBorder="1"/>
    <xf numFmtId="0" fontId="38" fillId="0" borderId="7" xfId="2" applyFont="1" applyBorder="1"/>
    <xf numFmtId="0" fontId="38" fillId="0" borderId="1" xfId="2" applyFont="1" applyBorder="1"/>
    <xf numFmtId="1" fontId="3" fillId="0" borderId="1" xfId="2" applyNumberFormat="1" applyFont="1" applyBorder="1"/>
    <xf numFmtId="0" fontId="69" fillId="0" borderId="32" xfId="2" applyFont="1" applyBorder="1"/>
    <xf numFmtId="0" fontId="71" fillId="0" borderId="0" xfId="2" applyFont="1"/>
    <xf numFmtId="0" fontId="65" fillId="0" borderId="0" xfId="2" applyFont="1" applyAlignment="1">
      <alignment wrapText="1"/>
    </xf>
    <xf numFmtId="1" fontId="38" fillId="0" borderId="0" xfId="2" applyNumberFormat="1" applyFont="1"/>
    <xf numFmtId="1" fontId="36" fillId="0" borderId="0" xfId="2" applyNumberFormat="1" applyFont="1" applyAlignment="1">
      <alignment horizontal="center"/>
    </xf>
    <xf numFmtId="3" fontId="38" fillId="0" borderId="0" xfId="2" applyNumberFormat="1" applyFont="1"/>
    <xf numFmtId="3" fontId="65" fillId="0" borderId="0" xfId="2" applyNumberFormat="1" applyFont="1"/>
    <xf numFmtId="49" fontId="65" fillId="0" borderId="0" xfId="2" applyNumberFormat="1" applyFont="1"/>
    <xf numFmtId="49" fontId="38" fillId="0" borderId="0" xfId="2" applyNumberFormat="1" applyFont="1"/>
    <xf numFmtId="3" fontId="70" fillId="0" borderId="0" xfId="2" applyNumberFormat="1" applyFont="1"/>
    <xf numFmtId="3" fontId="5" fillId="0" borderId="22" xfId="2" applyNumberFormat="1" applyFont="1" applyBorder="1"/>
    <xf numFmtId="3" fontId="5" fillId="0" borderId="36" xfId="2" applyNumberFormat="1" applyFont="1" applyBorder="1"/>
    <xf numFmtId="0" fontId="10" fillId="0" borderId="16" xfId="2" applyFont="1" applyBorder="1" applyAlignment="1">
      <alignment horizontal="center" wrapText="1"/>
    </xf>
    <xf numFmtId="0" fontId="10" fillId="0" borderId="69" xfId="2" applyFont="1" applyBorder="1" applyAlignment="1">
      <alignment horizontal="center" wrapText="1"/>
    </xf>
    <xf numFmtId="3" fontId="5" fillId="0" borderId="69" xfId="2" applyNumberFormat="1" applyFont="1" applyBorder="1"/>
    <xf numFmtId="3" fontId="5" fillId="0" borderId="16" xfId="2" applyNumberFormat="1" applyFont="1" applyBorder="1"/>
    <xf numFmtId="0" fontId="10" fillId="0" borderId="97" xfId="2" applyFont="1" applyBorder="1"/>
    <xf numFmtId="0" fontId="10" fillId="0" borderId="8" xfId="2" applyFont="1" applyBorder="1"/>
    <xf numFmtId="3" fontId="5" fillId="0" borderId="54" xfId="2" applyNumberFormat="1" applyFont="1" applyFill="1" applyBorder="1"/>
    <xf numFmtId="49" fontId="24" fillId="0" borderId="54" xfId="2" applyNumberFormat="1" applyFont="1" applyBorder="1" applyAlignment="1">
      <alignment horizontal="center"/>
    </xf>
    <xf numFmtId="0" fontId="64" fillId="0" borderId="16" xfId="2" applyFont="1" applyBorder="1" applyAlignment="1">
      <alignment horizontal="center" wrapText="1"/>
    </xf>
    <xf numFmtId="0" fontId="10" fillId="0" borderId="16" xfId="2" applyFont="1" applyBorder="1"/>
    <xf numFmtId="0" fontId="5" fillId="0" borderId="4" xfId="2" applyFont="1" applyBorder="1"/>
    <xf numFmtId="0" fontId="5" fillId="0" borderId="56" xfId="2" applyFont="1" applyBorder="1" applyAlignment="1">
      <alignment horizontal="right"/>
    </xf>
    <xf numFmtId="0" fontId="5" fillId="0" borderId="7" xfId="2" applyFont="1" applyBorder="1" applyAlignment="1">
      <alignment horizontal="right"/>
    </xf>
    <xf numFmtId="0" fontId="5" fillId="0" borderId="11" xfId="2" applyFont="1" applyBorder="1" applyAlignment="1">
      <alignment horizontal="right"/>
    </xf>
    <xf numFmtId="0" fontId="72" fillId="0" borderId="34" xfId="2" applyFont="1" applyBorder="1"/>
    <xf numFmtId="0" fontId="48" fillId="0" borderId="8" xfId="2" applyFont="1" applyBorder="1"/>
    <xf numFmtId="0" fontId="48" fillId="0" borderId="3" xfId="2" applyFont="1" applyBorder="1"/>
    <xf numFmtId="0" fontId="69" fillId="0" borderId="34" xfId="2" applyFont="1" applyBorder="1"/>
    <xf numFmtId="0" fontId="3" fillId="0" borderId="1" xfId="2" applyFont="1" applyBorder="1"/>
    <xf numFmtId="1" fontId="3" fillId="0" borderId="1" xfId="2" applyNumberFormat="1" applyFont="1" applyFill="1" applyBorder="1"/>
    <xf numFmtId="1" fontId="68" fillId="0" borderId="71" xfId="2" applyNumberFormat="1" applyFont="1" applyBorder="1" applyAlignment="1">
      <alignment horizontal="center" wrapText="1"/>
    </xf>
    <xf numFmtId="0" fontId="65" fillId="0" borderId="60" xfId="2" applyFont="1" applyBorder="1" applyAlignment="1">
      <alignment horizontal="center" wrapText="1"/>
    </xf>
    <xf numFmtId="0" fontId="68" fillId="0" borderId="60" xfId="2" applyFont="1" applyBorder="1" applyAlignment="1">
      <alignment horizontal="center" wrapText="1"/>
    </xf>
    <xf numFmtId="0" fontId="65" fillId="0" borderId="60" xfId="2" applyFont="1" applyFill="1" applyBorder="1" applyAlignment="1">
      <alignment horizontal="right" wrapText="1"/>
    </xf>
    <xf numFmtId="0" fontId="3" fillId="0" borderId="30" xfId="2" applyFont="1" applyBorder="1" applyAlignment="1">
      <alignment horizontal="right"/>
    </xf>
    <xf numFmtId="0" fontId="3" fillId="0" borderId="80" xfId="2" applyFont="1" applyBorder="1" applyAlignment="1">
      <alignment horizontal="right"/>
    </xf>
    <xf numFmtId="1" fontId="36" fillId="0" borderId="73" xfId="2" applyNumberFormat="1" applyFont="1" applyBorder="1"/>
    <xf numFmtId="49" fontId="36" fillId="0" borderId="74" xfId="2" applyNumberFormat="1" applyFont="1" applyFill="1" applyBorder="1" applyAlignment="1">
      <alignment horizontal="center"/>
    </xf>
    <xf numFmtId="0" fontId="65" fillId="0" borderId="60" xfId="2" applyFont="1" applyFill="1" applyBorder="1" applyAlignment="1">
      <alignment horizontal="center" wrapText="1"/>
    </xf>
    <xf numFmtId="1" fontId="29" fillId="0" borderId="31" xfId="2" applyNumberFormat="1" applyFont="1" applyFill="1" applyBorder="1"/>
    <xf numFmtId="1" fontId="71" fillId="0" borderId="69" xfId="2" applyNumberFormat="1" applyFont="1" applyFill="1" applyBorder="1"/>
    <xf numFmtId="1" fontId="36" fillId="0" borderId="0" xfId="2" applyNumberFormat="1" applyFont="1" applyFill="1"/>
    <xf numFmtId="0" fontId="70" fillId="0" borderId="4" xfId="2" applyFont="1" applyBorder="1" applyAlignment="1">
      <alignment horizontal="right"/>
    </xf>
    <xf numFmtId="1" fontId="38" fillId="0" borderId="4" xfId="2" applyNumberFormat="1" applyFont="1" applyFill="1" applyBorder="1"/>
    <xf numFmtId="1" fontId="71" fillId="0" borderId="3" xfId="2" applyNumberFormat="1" applyFont="1" applyFill="1" applyBorder="1"/>
    <xf numFmtId="1" fontId="71" fillId="0" borderId="13" xfId="2" applyNumberFormat="1" applyFont="1" applyFill="1" applyBorder="1"/>
    <xf numFmtId="1" fontId="3" fillId="0" borderId="5" xfId="2" applyNumberFormat="1" applyFont="1" applyBorder="1"/>
    <xf numFmtId="0" fontId="3" fillId="0" borderId="7" xfId="2" applyFont="1" applyBorder="1" applyAlignment="1">
      <alignment horizontal="right"/>
    </xf>
    <xf numFmtId="0" fontId="3" fillId="0" borderId="114" xfId="2" applyFont="1" applyBorder="1" applyAlignment="1">
      <alignment horizontal="right"/>
    </xf>
    <xf numFmtId="0" fontId="36" fillId="0" borderId="73" xfId="2" applyFont="1" applyBorder="1"/>
    <xf numFmtId="1" fontId="38" fillId="0" borderId="73" xfId="2" applyNumberFormat="1" applyFont="1" applyBorder="1"/>
    <xf numFmtId="1" fontId="37" fillId="0" borderId="73" xfId="2" applyNumberFormat="1" applyFont="1" applyBorder="1"/>
    <xf numFmtId="1" fontId="37" fillId="0" borderId="77" xfId="2" applyNumberFormat="1" applyFont="1" applyBorder="1"/>
    <xf numFmtId="0" fontId="3" fillId="0" borderId="12" xfId="2" applyFont="1" applyBorder="1" applyAlignment="1">
      <alignment horizontal="right"/>
    </xf>
    <xf numFmtId="0" fontId="3" fillId="0" borderId="4" xfId="2" applyFont="1" applyBorder="1"/>
    <xf numFmtId="1" fontId="3" fillId="0" borderId="23" xfId="2" applyNumberFormat="1" applyFont="1" applyBorder="1"/>
    <xf numFmtId="0" fontId="37" fillId="0" borderId="8" xfId="2" applyFont="1" applyBorder="1"/>
    <xf numFmtId="1" fontId="36" fillId="0" borderId="3" xfId="2" applyNumberFormat="1" applyFont="1" applyBorder="1" applyAlignment="1">
      <alignment horizontal="center" wrapText="1"/>
    </xf>
    <xf numFmtId="1" fontId="36" fillId="0" borderId="13" xfId="2" applyNumberFormat="1" applyFont="1" applyBorder="1" applyAlignment="1">
      <alignment horizontal="center" wrapText="1"/>
    </xf>
    <xf numFmtId="0" fontId="65" fillId="0" borderId="30" xfId="2" applyFont="1" applyBorder="1" applyAlignment="1">
      <alignment horizontal="center"/>
    </xf>
    <xf numFmtId="0" fontId="69" fillId="0" borderId="32" xfId="2" applyFont="1" applyBorder="1" applyAlignment="1">
      <alignment horizontal="right"/>
    </xf>
    <xf numFmtId="1" fontId="3" fillId="0" borderId="25" xfId="2" applyNumberFormat="1" applyFont="1" applyBorder="1"/>
    <xf numFmtId="1" fontId="3" fillId="0" borderId="10" xfId="2" applyNumberFormat="1" applyFont="1" applyBorder="1"/>
    <xf numFmtId="1" fontId="36" fillId="0" borderId="25" xfId="2" applyNumberFormat="1" applyFont="1" applyBorder="1"/>
    <xf numFmtId="1" fontId="29" fillId="0" borderId="18" xfId="2" applyNumberFormat="1" applyFont="1" applyBorder="1"/>
    <xf numFmtId="1" fontId="71" fillId="0" borderId="17" xfId="2" applyNumberFormat="1" applyFont="1" applyBorder="1"/>
    <xf numFmtId="0" fontId="36" fillId="0" borderId="31" xfId="2" applyFont="1" applyFill="1" applyBorder="1" applyAlignment="1">
      <alignment horizontal="center" wrapText="1"/>
    </xf>
    <xf numFmtId="1" fontId="38" fillId="0" borderId="33" xfId="2" applyNumberFormat="1" applyFont="1" applyFill="1" applyBorder="1"/>
    <xf numFmtId="1" fontId="38" fillId="0" borderId="2" xfId="2" applyNumberFormat="1" applyFont="1" applyFill="1" applyBorder="1"/>
    <xf numFmtId="1" fontId="36" fillId="0" borderId="2" xfId="2" applyNumberFormat="1" applyFont="1" applyFill="1" applyBorder="1"/>
    <xf numFmtId="1" fontId="36" fillId="0" borderId="49" xfId="2" applyNumberFormat="1" applyFont="1" applyFill="1" applyBorder="1"/>
    <xf numFmtId="0" fontId="69" fillId="0" borderId="34" xfId="2" applyFont="1" applyBorder="1" applyAlignment="1">
      <alignment wrapText="1"/>
    </xf>
    <xf numFmtId="0" fontId="16" fillId="0" borderId="34" xfId="2" applyFont="1" applyBorder="1"/>
    <xf numFmtId="0" fontId="72" fillId="0" borderId="113" xfId="2" applyFont="1" applyBorder="1"/>
    <xf numFmtId="1" fontId="36" fillId="0" borderId="70" xfId="2" applyNumberFormat="1" applyFont="1" applyBorder="1" applyAlignment="1">
      <alignment horizontal="center" wrapText="1"/>
    </xf>
    <xf numFmtId="1" fontId="38" fillId="0" borderId="99" xfId="2" applyNumberFormat="1" applyFont="1" applyBorder="1"/>
    <xf numFmtId="1" fontId="71" fillId="0" borderId="70" xfId="2" applyNumberFormat="1" applyFont="1" applyFill="1" applyBorder="1"/>
    <xf numFmtId="1" fontId="37" fillId="0" borderId="2" xfId="2" applyNumberFormat="1" applyFont="1" applyFill="1" applyBorder="1"/>
    <xf numFmtId="1" fontId="37" fillId="0" borderId="49" xfId="2" applyNumberFormat="1" applyFont="1" applyFill="1" applyBorder="1"/>
    <xf numFmtId="1" fontId="71" fillId="0" borderId="31" xfId="2" applyNumberFormat="1" applyFont="1" applyFill="1" applyBorder="1"/>
    <xf numFmtId="1" fontId="51" fillId="0" borderId="31" xfId="2" applyNumberFormat="1" applyFont="1" applyFill="1" applyBorder="1" applyAlignment="1">
      <alignment horizontal="center" wrapText="1"/>
    </xf>
    <xf numFmtId="0" fontId="12" fillId="0" borderId="3" xfId="0" applyFont="1" applyBorder="1" applyAlignment="1">
      <alignment horizontal="center" vertical="center"/>
    </xf>
    <xf numFmtId="3" fontId="12" fillId="0" borderId="13" xfId="0" applyNumberFormat="1" applyFont="1" applyFill="1" applyBorder="1" applyAlignment="1">
      <alignment horizont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3" xfId="0" applyFont="1" applyBorder="1" applyAlignment="1">
      <alignment horizontal="center" wrapText="1"/>
    </xf>
    <xf numFmtId="3" fontId="17" fillId="0" borderId="0" xfId="2" applyNumberFormat="1" applyFont="1" applyFill="1" applyBorder="1" applyAlignment="1">
      <alignment wrapText="1"/>
    </xf>
    <xf numFmtId="3" fontId="5" fillId="0" borderId="0" xfId="2" applyNumberFormat="1" applyFont="1" applyFill="1" applyBorder="1" applyAlignment="1">
      <alignment wrapText="1"/>
    </xf>
    <xf numFmtId="3" fontId="7" fillId="0" borderId="0" xfId="2" applyNumberFormat="1" applyFont="1" applyFill="1" applyAlignment="1">
      <alignment horizontal="center"/>
    </xf>
    <xf numFmtId="3" fontId="16" fillId="0" borderId="0" xfId="4" applyNumberFormat="1" applyFont="1" applyFill="1"/>
    <xf numFmtId="3" fontId="5" fillId="0" borderId="0" xfId="2" applyNumberFormat="1" applyFont="1" applyAlignment="1">
      <alignment horizontal="right"/>
    </xf>
    <xf numFmtId="3" fontId="16" fillId="0" borderId="0" xfId="4" applyNumberFormat="1" applyFont="1"/>
    <xf numFmtId="0" fontId="16" fillId="0" borderId="0" xfId="4" applyFont="1"/>
    <xf numFmtId="0" fontId="6" fillId="0" borderId="0" xfId="2" applyFont="1" applyAlignment="1">
      <alignment horizontal="left"/>
    </xf>
    <xf numFmtId="0" fontId="6" fillId="0" borderId="0" xfId="2" applyFont="1" applyAlignment="1">
      <alignment horizontal="center"/>
    </xf>
    <xf numFmtId="0" fontId="5" fillId="0" borderId="0" xfId="2" applyFont="1" applyAlignment="1">
      <alignment horizontal="center"/>
    </xf>
    <xf numFmtId="0" fontId="36" fillId="3" borderId="0" xfId="2" applyFont="1" applyFill="1"/>
    <xf numFmtId="0" fontId="16" fillId="0" borderId="0" xfId="4" applyFont="1" applyAlignment="1">
      <alignment horizontal="center"/>
    </xf>
    <xf numFmtId="49" fontId="5" fillId="0" borderId="74" xfId="2" applyNumberFormat="1" applyFont="1" applyBorder="1" applyAlignment="1">
      <alignment horizontal="center"/>
    </xf>
    <xf numFmtId="0" fontId="5" fillId="0" borderId="12" xfId="2" applyFont="1" applyBorder="1"/>
    <xf numFmtId="0" fontId="5" fillId="0" borderId="32" xfId="2" applyFont="1" applyBorder="1" applyAlignment="1">
      <alignment horizontal="right"/>
    </xf>
    <xf numFmtId="0" fontId="5" fillId="0" borderId="7" xfId="2" applyFont="1" applyBorder="1"/>
    <xf numFmtId="0" fontId="5" fillId="0" borderId="11" xfId="2" applyFont="1" applyBorder="1"/>
    <xf numFmtId="0" fontId="15" fillId="0" borderId="30" xfId="2" applyFont="1" applyBorder="1" applyAlignment="1">
      <alignment horizontal="center"/>
    </xf>
    <xf numFmtId="0" fontId="5" fillId="0" borderId="22" xfId="2" applyFont="1" applyFill="1" applyBorder="1"/>
    <xf numFmtId="0" fontId="6" fillId="0" borderId="3" xfId="2" applyFont="1" applyFill="1" applyBorder="1"/>
    <xf numFmtId="0" fontId="6" fillId="0" borderId="16" xfId="2" applyFont="1" applyFill="1" applyBorder="1"/>
    <xf numFmtId="0" fontId="5" fillId="0" borderId="3" xfId="2" applyFont="1" applyFill="1" applyBorder="1"/>
    <xf numFmtId="0" fontId="5" fillId="0" borderId="16" xfId="2" applyFont="1" applyFill="1" applyBorder="1"/>
    <xf numFmtId="0" fontId="5" fillId="0" borderId="12" xfId="2" applyFont="1" applyBorder="1" applyAlignment="1">
      <alignment horizontal="right"/>
    </xf>
    <xf numFmtId="0" fontId="5" fillId="0" borderId="32" xfId="2" applyFont="1" applyBorder="1"/>
    <xf numFmtId="0" fontId="44" fillId="0" borderId="34" xfId="2" applyFont="1" applyFill="1" applyBorder="1"/>
    <xf numFmtId="0" fontId="5" fillId="0" borderId="36" xfId="2" applyFont="1" applyBorder="1"/>
    <xf numFmtId="1" fontId="6" fillId="0" borderId="33" xfId="2" applyNumberFormat="1" applyFont="1" applyBorder="1" applyAlignment="1">
      <alignment wrapText="1"/>
    </xf>
    <xf numFmtId="0" fontId="6" fillId="0" borderId="102" xfId="0" applyFont="1" applyFill="1" applyBorder="1"/>
    <xf numFmtId="1" fontId="6" fillId="0" borderId="48" xfId="0" applyNumberFormat="1" applyFont="1" applyFill="1" applyBorder="1"/>
    <xf numFmtId="1" fontId="47" fillId="0" borderId="100" xfId="0" applyNumberFormat="1" applyFont="1" applyFill="1" applyBorder="1"/>
    <xf numFmtId="0" fontId="59" fillId="0" borderId="2" xfId="0" applyFont="1" applyFill="1" applyBorder="1"/>
    <xf numFmtId="1" fontId="47" fillId="0" borderId="31" xfId="0" applyNumberFormat="1" applyFont="1" applyFill="1" applyBorder="1"/>
    <xf numFmtId="0" fontId="6" fillId="0" borderId="31" xfId="0" applyFont="1" applyFill="1" applyBorder="1"/>
    <xf numFmtId="49" fontId="36" fillId="0" borderId="89" xfId="2" applyNumberFormat="1" applyFont="1" applyFill="1" applyBorder="1" applyAlignment="1">
      <alignment horizontal="center"/>
    </xf>
    <xf numFmtId="49" fontId="36" fillId="0" borderId="60" xfId="2" applyNumberFormat="1" applyFont="1" applyFill="1" applyBorder="1" applyAlignment="1">
      <alignment horizontal="center"/>
    </xf>
    <xf numFmtId="49" fontId="36" fillId="0" borderId="78" xfId="2" applyNumberFormat="1" applyFont="1" applyFill="1" applyBorder="1" applyAlignment="1">
      <alignment horizontal="center"/>
    </xf>
    <xf numFmtId="49" fontId="36" fillId="0" borderId="60" xfId="4" applyNumberFormat="1" applyFont="1" applyFill="1" applyBorder="1" applyAlignment="1">
      <alignment horizontal="center"/>
    </xf>
    <xf numFmtId="0" fontId="5" fillId="0" borderId="10" xfId="0" applyFont="1" applyFill="1" applyBorder="1" applyAlignment="1">
      <alignment horizontal="left" wrapText="1"/>
    </xf>
    <xf numFmtId="3" fontId="5" fillId="0" borderId="23" xfId="0" applyNumberFormat="1" applyFont="1" applyFill="1" applyBorder="1"/>
    <xf numFmtId="3" fontId="6" fillId="0" borderId="13" xfId="0" applyNumberFormat="1" applyFont="1" applyFill="1" applyBorder="1"/>
    <xf numFmtId="3" fontId="12" fillId="0" borderId="18" xfId="0" applyNumberFormat="1" applyFont="1" applyFill="1" applyBorder="1"/>
    <xf numFmtId="0" fontId="10" fillId="0" borderId="79" xfId="0" applyFont="1" applyBorder="1" applyAlignment="1">
      <alignment wrapText="1"/>
    </xf>
    <xf numFmtId="0" fontId="73" fillId="0" borderId="0" xfId="0" applyFont="1"/>
    <xf numFmtId="0" fontId="10" fillId="0" borderId="0" xfId="0" applyFont="1" applyBorder="1" applyAlignment="1">
      <alignment wrapText="1"/>
    </xf>
    <xf numFmtId="3" fontId="10" fillId="0" borderId="0" xfId="0" applyNumberFormat="1" applyFont="1" applyFill="1" applyBorder="1"/>
    <xf numFmtId="0" fontId="5" fillId="0" borderId="1" xfId="4" applyFont="1" applyFill="1" applyBorder="1" applyAlignment="1">
      <alignment horizontal="left" wrapText="1"/>
    </xf>
    <xf numFmtId="3" fontId="5" fillId="0" borderId="34" xfId="2" applyNumberFormat="1" applyFont="1" applyFill="1" applyBorder="1"/>
    <xf numFmtId="3" fontId="6" fillId="0" borderId="18" xfId="2" applyNumberFormat="1" applyFont="1" applyBorder="1"/>
    <xf numFmtId="3" fontId="6" fillId="0" borderId="95" xfId="2" applyNumberFormat="1" applyFont="1" applyBorder="1"/>
    <xf numFmtId="49" fontId="16" fillId="0" borderId="54" xfId="2" applyNumberFormat="1" applyFont="1" applyBorder="1" applyAlignment="1">
      <alignment horizontal="center"/>
    </xf>
    <xf numFmtId="3" fontId="5" fillId="0" borderId="0" xfId="2" applyNumberFormat="1" applyFont="1" applyFill="1" applyAlignment="1">
      <alignment horizontal="left"/>
    </xf>
    <xf numFmtId="0" fontId="20" fillId="0" borderId="0" xfId="0" applyFont="1" applyAlignment="1">
      <alignment horizontal="right" wrapText="1"/>
    </xf>
    <xf numFmtId="0" fontId="17" fillId="0" borderId="0" xfId="0" applyFont="1" applyAlignment="1">
      <alignment horizontal="right" wrapText="1"/>
    </xf>
    <xf numFmtId="49" fontId="36" fillId="0" borderId="0" xfId="2" applyNumberFormat="1" applyFont="1" applyAlignment="1">
      <alignment horizontal="right"/>
    </xf>
    <xf numFmtId="3" fontId="10" fillId="0" borderId="79" xfId="0" applyNumberFormat="1" applyFont="1" applyFill="1" applyBorder="1"/>
    <xf numFmtId="0" fontId="52" fillId="0" borderId="68" xfId="0" applyFont="1" applyFill="1" applyBorder="1" applyAlignment="1">
      <alignment wrapText="1"/>
    </xf>
    <xf numFmtId="3" fontId="55" fillId="0" borderId="0" xfId="0" applyNumberFormat="1" applyFont="1" applyFill="1" applyBorder="1"/>
    <xf numFmtId="0" fontId="22" fillId="0" borderId="0" xfId="0" applyFont="1" applyFill="1" applyBorder="1" applyAlignment="1">
      <alignment horizontal="center" wrapText="1"/>
    </xf>
    <xf numFmtId="0" fontId="54" fillId="0" borderId="0" xfId="0" applyFont="1" applyFill="1" applyBorder="1" applyAlignment="1">
      <alignment horizontal="center" wrapText="1"/>
    </xf>
    <xf numFmtId="3" fontId="5" fillId="0" borderId="0" xfId="0" applyNumberFormat="1" applyFont="1" applyFill="1" applyBorder="1" applyAlignment="1">
      <alignment horizontal="right" wrapText="1"/>
    </xf>
    <xf numFmtId="0" fontId="6" fillId="0" borderId="116" xfId="0" applyFont="1" applyBorder="1" applyAlignment="1">
      <alignment horizontal="left"/>
    </xf>
    <xf numFmtId="3" fontId="41" fillId="0" borderId="0" xfId="0" applyNumberFormat="1" applyFont="1" applyFill="1" applyBorder="1" applyAlignment="1">
      <alignment horizontal="right" wrapText="1"/>
    </xf>
    <xf numFmtId="0" fontId="5" fillId="0" borderId="117" xfId="0" applyFont="1" applyBorder="1" applyAlignment="1">
      <alignment wrapText="1"/>
    </xf>
    <xf numFmtId="0" fontId="5" fillId="0" borderId="4" xfId="0" applyFont="1" applyFill="1" applyBorder="1" applyAlignment="1">
      <alignment horizontal="left" vertical="center" wrapText="1"/>
    </xf>
    <xf numFmtId="0" fontId="5" fillId="0" borderId="4" xfId="0" applyFont="1" applyFill="1" applyBorder="1" applyAlignment="1">
      <alignment horizontal="right" wrapText="1"/>
    </xf>
    <xf numFmtId="3" fontId="5" fillId="0" borderId="4" xfId="0" applyNumberFormat="1" applyFont="1" applyFill="1" applyBorder="1" applyAlignment="1">
      <alignment horizontal="right" wrapText="1"/>
    </xf>
    <xf numFmtId="0" fontId="5" fillId="0" borderId="14" xfId="0" applyFont="1" applyFill="1" applyBorder="1"/>
    <xf numFmtId="0" fontId="53" fillId="0" borderId="0" xfId="0" applyFont="1" applyAlignment="1">
      <alignment horizontal="right"/>
    </xf>
    <xf numFmtId="0" fontId="74" fillId="0" borderId="0" xfId="0" applyFont="1" applyFill="1"/>
    <xf numFmtId="1" fontId="5" fillId="0" borderId="0" xfId="0" applyNumberFormat="1" applyFont="1" applyBorder="1"/>
    <xf numFmtId="0" fontId="6" fillId="0" borderId="0" xfId="0" applyFont="1" applyBorder="1" applyAlignment="1">
      <alignment horizontal="center" wrapText="1"/>
    </xf>
    <xf numFmtId="0" fontId="6" fillId="0" borderId="1" xfId="0" applyFont="1" applyBorder="1" applyAlignment="1">
      <alignment horizontal="center" wrapText="1"/>
    </xf>
    <xf numFmtId="0" fontId="5" fillId="0" borderId="4" xfId="2" applyFont="1" applyFill="1" applyBorder="1"/>
    <xf numFmtId="3" fontId="6" fillId="0" borderId="33" xfId="2" applyNumberFormat="1" applyFont="1" applyFill="1" applyBorder="1"/>
    <xf numFmtId="3" fontId="6" fillId="0" borderId="56" xfId="2" applyNumberFormat="1" applyFont="1" applyFill="1" applyBorder="1"/>
    <xf numFmtId="3" fontId="17" fillId="0" borderId="3" xfId="2" applyNumberFormat="1" applyFont="1" applyFill="1" applyBorder="1"/>
    <xf numFmtId="0" fontId="5" fillId="0" borderId="80" xfId="2" applyFont="1" applyFill="1" applyBorder="1" applyAlignment="1">
      <alignment horizontal="right"/>
    </xf>
    <xf numFmtId="3" fontId="6" fillId="0" borderId="69" xfId="2" applyNumberFormat="1" applyFont="1" applyFill="1" applyBorder="1"/>
    <xf numFmtId="3" fontId="6" fillId="0" borderId="70" xfId="2" applyNumberFormat="1" applyFont="1" applyFill="1" applyBorder="1"/>
    <xf numFmtId="0" fontId="5" fillId="0" borderId="0" xfId="2" applyFont="1" applyFill="1" applyBorder="1"/>
    <xf numFmtId="0" fontId="5" fillId="0" borderId="0" xfId="2" applyFont="1" applyFill="1" applyBorder="1" applyAlignment="1">
      <alignment horizontal="right"/>
    </xf>
    <xf numFmtId="3" fontId="6" fillId="0" borderId="0" xfId="2" applyNumberFormat="1" applyFont="1" applyFill="1" applyBorder="1"/>
    <xf numFmtId="3" fontId="59" fillId="0" borderId="0" xfId="2" applyNumberFormat="1" applyFont="1" applyFill="1" applyBorder="1"/>
    <xf numFmtId="0" fontId="63" fillId="0" borderId="0" xfId="0" applyFont="1" applyFill="1"/>
    <xf numFmtId="0" fontId="10" fillId="0" borderId="3" xfId="2" applyFont="1" applyFill="1" applyBorder="1"/>
    <xf numFmtId="0" fontId="10" fillId="0" borderId="30" xfId="2" applyFont="1" applyFill="1" applyBorder="1" applyAlignment="1">
      <alignment horizontal="center"/>
    </xf>
    <xf numFmtId="3" fontId="10" fillId="0" borderId="31" xfId="2" applyNumberFormat="1" applyFont="1" applyFill="1" applyBorder="1" applyAlignment="1">
      <alignment horizontal="center" wrapText="1"/>
    </xf>
    <xf numFmtId="0" fontId="10" fillId="0" borderId="8" xfId="2" applyFont="1" applyFill="1" applyBorder="1" applyAlignment="1">
      <alignment horizontal="center" wrapText="1"/>
    </xf>
    <xf numFmtId="0" fontId="10" fillId="0" borderId="3" xfId="2" applyFont="1" applyFill="1" applyBorder="1" applyAlignment="1">
      <alignment horizontal="center" wrapText="1"/>
    </xf>
    <xf numFmtId="0" fontId="10" fillId="0" borderId="13" xfId="2" applyFont="1" applyFill="1" applyBorder="1" applyAlignment="1">
      <alignment horizontal="center" wrapText="1"/>
    </xf>
    <xf numFmtId="0" fontId="5" fillId="0" borderId="54" xfId="2" applyFont="1" applyFill="1" applyBorder="1"/>
    <xf numFmtId="0" fontId="5" fillId="0" borderId="55" xfId="2" applyFont="1" applyFill="1" applyBorder="1"/>
    <xf numFmtId="3" fontId="6" fillId="0" borderId="45" xfId="2" applyNumberFormat="1" applyFont="1" applyFill="1" applyBorder="1"/>
    <xf numFmtId="0" fontId="5" fillId="0" borderId="34" xfId="2" applyFont="1" applyFill="1" applyBorder="1" applyAlignment="1">
      <alignment wrapText="1"/>
    </xf>
    <xf numFmtId="3" fontId="6" fillId="0" borderId="2" xfId="2" applyNumberFormat="1" applyFont="1" applyFill="1" applyBorder="1"/>
    <xf numFmtId="3" fontId="6" fillId="0" borderId="7" xfId="2" applyNumberFormat="1" applyFont="1" applyFill="1" applyBorder="1"/>
    <xf numFmtId="0" fontId="5" fillId="0" borderId="0" xfId="0" applyFont="1" applyAlignment="1">
      <alignment horizontal="center"/>
    </xf>
    <xf numFmtId="3" fontId="73" fillId="0" borderId="0" xfId="0" applyNumberFormat="1" applyFont="1" applyFill="1" applyBorder="1"/>
    <xf numFmtId="0" fontId="6" fillId="0" borderId="32" xfId="0" applyFont="1" applyBorder="1"/>
    <xf numFmtId="1" fontId="6" fillId="0" borderId="34" xfId="0" applyNumberFormat="1" applyFont="1" applyFill="1" applyBorder="1"/>
    <xf numFmtId="0" fontId="6" fillId="0" borderId="34" xfId="0" applyFont="1" applyBorder="1"/>
    <xf numFmtId="0" fontId="6" fillId="0" borderId="34" xfId="0" applyFont="1" applyFill="1" applyBorder="1"/>
    <xf numFmtId="0" fontId="24" fillId="0" borderId="34" xfId="0" applyFont="1" applyBorder="1"/>
    <xf numFmtId="0" fontId="24" fillId="0" borderId="36" xfId="0" applyFont="1" applyBorder="1"/>
    <xf numFmtId="0" fontId="6" fillId="0" borderId="36" xfId="0" applyFont="1" applyBorder="1"/>
    <xf numFmtId="0" fontId="6" fillId="0" borderId="72" xfId="0" applyFont="1" applyBorder="1"/>
    <xf numFmtId="0" fontId="6" fillId="0" borderId="77" xfId="0" applyFont="1" applyBorder="1"/>
    <xf numFmtId="0" fontId="6" fillId="0" borderId="55" xfId="0" applyFont="1" applyBorder="1"/>
    <xf numFmtId="0" fontId="6" fillId="0" borderId="113" xfId="0" applyFont="1" applyBorder="1"/>
    <xf numFmtId="0" fontId="75" fillId="0" borderId="0" xfId="0" applyFont="1" applyAlignment="1">
      <alignment horizontal="right"/>
    </xf>
    <xf numFmtId="0" fontId="75" fillId="0" borderId="0" xfId="0" applyFont="1"/>
    <xf numFmtId="0" fontId="6" fillId="0" borderId="0" xfId="0" applyFont="1" applyAlignment="1">
      <alignment horizontal="center"/>
    </xf>
    <xf numFmtId="3" fontId="16" fillId="3" borderId="0" xfId="4" applyNumberFormat="1" applyFont="1" applyFill="1"/>
    <xf numFmtId="0" fontId="6" fillId="0" borderId="0" xfId="2" applyFont="1" applyFill="1" applyAlignment="1">
      <alignment horizontal="left"/>
    </xf>
    <xf numFmtId="0" fontId="6" fillId="0" borderId="0" xfId="2" applyFont="1" applyFill="1" applyAlignment="1">
      <alignment horizontal="center"/>
    </xf>
    <xf numFmtId="0" fontId="6" fillId="0" borderId="0" xfId="2" applyFont="1" applyFill="1" applyAlignment="1">
      <alignment vertical="top"/>
    </xf>
    <xf numFmtId="49" fontId="6" fillId="0" borderId="0" xfId="2" applyNumberFormat="1" applyFont="1" applyFill="1" applyAlignment="1">
      <alignment horizontal="center"/>
    </xf>
    <xf numFmtId="0" fontId="24" fillId="0" borderId="0" xfId="4" applyFont="1" applyFill="1" applyAlignment="1">
      <alignment horizontal="center"/>
    </xf>
    <xf numFmtId="0" fontId="5" fillId="3" borderId="0" xfId="2" applyFont="1" applyFill="1" applyAlignment="1">
      <alignment horizontal="center"/>
    </xf>
    <xf numFmtId="0" fontId="36" fillId="3" borderId="0" xfId="2" applyFont="1" applyFill="1" applyAlignment="1">
      <alignment horizontal="center"/>
    </xf>
    <xf numFmtId="0" fontId="16" fillId="0" borderId="0" xfId="4" applyFont="1" applyAlignment="1">
      <alignment horizontal="left" vertical="top"/>
    </xf>
    <xf numFmtId="0" fontId="16" fillId="0" borderId="0" xfId="4" applyFont="1" applyFill="1"/>
    <xf numFmtId="1" fontId="5" fillId="0" borderId="54" xfId="2" applyNumberFormat="1" applyFont="1" applyFill="1" applyBorder="1" applyAlignment="1">
      <alignment wrapText="1"/>
    </xf>
    <xf numFmtId="1" fontId="5" fillId="0" borderId="4" xfId="2" applyNumberFormat="1" applyFont="1" applyFill="1" applyBorder="1" applyAlignment="1">
      <alignment wrapText="1"/>
    </xf>
    <xf numFmtId="1" fontId="5" fillId="0" borderId="4" xfId="2" applyNumberFormat="1" applyFont="1" applyFill="1" applyBorder="1"/>
    <xf numFmtId="1" fontId="5" fillId="3" borderId="4" xfId="2" applyNumberFormat="1" applyFont="1" applyFill="1" applyBorder="1"/>
    <xf numFmtId="1" fontId="7" fillId="0" borderId="23" xfId="2" applyNumberFormat="1" applyFont="1" applyFill="1" applyBorder="1" applyAlignment="1">
      <alignment wrapText="1"/>
    </xf>
    <xf numFmtId="1" fontId="7" fillId="3" borderId="23" xfId="2" applyNumberFormat="1" applyFont="1" applyFill="1" applyBorder="1" applyAlignment="1">
      <alignment wrapText="1"/>
    </xf>
    <xf numFmtId="1" fontId="5" fillId="3" borderId="4" xfId="2" applyNumberFormat="1" applyFont="1" applyFill="1" applyBorder="1" applyAlignment="1">
      <alignment wrapText="1"/>
    </xf>
    <xf numFmtId="1" fontId="6" fillId="0" borderId="2" xfId="2" applyNumberFormat="1" applyFont="1" applyBorder="1" applyAlignment="1">
      <alignment wrapText="1"/>
    </xf>
    <xf numFmtId="1" fontId="17" fillId="0" borderId="1" xfId="2" applyNumberFormat="1" applyFont="1" applyFill="1" applyBorder="1" applyAlignment="1">
      <alignment wrapText="1"/>
    </xf>
    <xf numFmtId="1" fontId="5" fillId="0" borderId="1" xfId="2" applyNumberFormat="1" applyFont="1" applyFill="1" applyBorder="1" applyAlignment="1">
      <alignment wrapText="1"/>
    </xf>
    <xf numFmtId="1" fontId="5" fillId="0" borderId="1" xfId="2" applyNumberFormat="1" applyFont="1" applyFill="1" applyBorder="1"/>
    <xf numFmtId="1" fontId="5" fillId="3" borderId="1" xfId="2" applyNumberFormat="1" applyFont="1" applyFill="1" applyBorder="1"/>
    <xf numFmtId="1" fontId="5" fillId="0" borderId="1" xfId="2" applyNumberFormat="1" applyFont="1" applyBorder="1"/>
    <xf numFmtId="1" fontId="5" fillId="0" borderId="34" xfId="2" applyNumberFormat="1" applyFont="1" applyFill="1" applyBorder="1"/>
    <xf numFmtId="1" fontId="5" fillId="3" borderId="5" xfId="2" applyNumberFormat="1" applyFont="1" applyFill="1" applyBorder="1" applyAlignment="1">
      <alignment wrapText="1"/>
    </xf>
    <xf numFmtId="1" fontId="17" fillId="3" borderId="1" xfId="2" applyNumberFormat="1" applyFont="1" applyFill="1" applyBorder="1" applyAlignment="1">
      <alignment wrapText="1"/>
    </xf>
    <xf numFmtId="1" fontId="17" fillId="0" borderId="34" xfId="2" applyNumberFormat="1" applyFont="1" applyFill="1" applyBorder="1"/>
    <xf numFmtId="1" fontId="17" fillId="0" borderId="34" xfId="2" applyNumberFormat="1" applyFont="1" applyFill="1" applyBorder="1" applyAlignment="1">
      <alignment wrapText="1"/>
    </xf>
    <xf numFmtId="1" fontId="17" fillId="0" borderId="5" xfId="2" applyNumberFormat="1" applyFont="1" applyFill="1" applyBorder="1" applyAlignment="1">
      <alignment wrapText="1"/>
    </xf>
    <xf numFmtId="1" fontId="17" fillId="3" borderId="5" xfId="2" applyNumberFormat="1" applyFont="1" applyFill="1" applyBorder="1" applyAlignment="1">
      <alignment wrapText="1"/>
    </xf>
    <xf numFmtId="1" fontId="5" fillId="0" borderId="5" xfId="2" applyNumberFormat="1" applyFont="1" applyFill="1" applyBorder="1" applyAlignment="1">
      <alignment wrapText="1"/>
    </xf>
    <xf numFmtId="1" fontId="17" fillId="0" borderId="22" xfId="2" applyNumberFormat="1" applyFont="1" applyFill="1" applyBorder="1" applyAlignment="1">
      <alignment wrapText="1"/>
    </xf>
    <xf numFmtId="1" fontId="5" fillId="0" borderId="22" xfId="2" applyNumberFormat="1" applyFont="1" applyFill="1" applyBorder="1"/>
    <xf numFmtId="1" fontId="5" fillId="3" borderId="22" xfId="2" applyNumberFormat="1" applyFont="1" applyFill="1" applyBorder="1"/>
    <xf numFmtId="1" fontId="5" fillId="0" borderId="22" xfId="2" applyNumberFormat="1" applyFont="1" applyFill="1" applyBorder="1" applyAlignment="1">
      <alignment wrapText="1"/>
    </xf>
    <xf numFmtId="1" fontId="5" fillId="0" borderId="22" xfId="2" applyNumberFormat="1" applyFont="1" applyBorder="1"/>
    <xf numFmtId="1" fontId="5" fillId="0" borderId="24" xfId="2" applyNumberFormat="1" applyFont="1" applyFill="1" applyBorder="1" applyAlignment="1">
      <alignment wrapText="1"/>
    </xf>
    <xf numFmtId="1" fontId="5" fillId="3" borderId="24" xfId="2" applyNumberFormat="1" applyFont="1" applyFill="1" applyBorder="1" applyAlignment="1">
      <alignment wrapText="1"/>
    </xf>
    <xf numFmtId="1" fontId="17" fillId="3" borderId="22" xfId="2" applyNumberFormat="1" applyFont="1" applyFill="1" applyBorder="1" applyAlignment="1">
      <alignment wrapText="1"/>
    </xf>
    <xf numFmtId="1" fontId="6" fillId="0" borderId="31" xfId="2" applyNumberFormat="1" applyFont="1" applyFill="1" applyBorder="1" applyAlignment="1">
      <alignment wrapText="1"/>
    </xf>
    <xf numFmtId="1" fontId="17" fillId="0" borderId="3" xfId="2" applyNumberFormat="1" applyFont="1" applyFill="1" applyBorder="1" applyAlignment="1">
      <alignment wrapText="1"/>
    </xf>
    <xf numFmtId="1" fontId="17" fillId="3" borderId="3" xfId="2" applyNumberFormat="1" applyFont="1" applyFill="1" applyBorder="1" applyAlignment="1">
      <alignment wrapText="1"/>
    </xf>
    <xf numFmtId="1" fontId="17" fillId="0" borderId="13" xfId="2" applyNumberFormat="1" applyFont="1" applyFill="1" applyBorder="1" applyAlignment="1">
      <alignment wrapText="1"/>
    </xf>
    <xf numFmtId="1" fontId="17" fillId="3" borderId="13" xfId="2" applyNumberFormat="1" applyFont="1" applyFill="1" applyBorder="1" applyAlignment="1">
      <alignment wrapText="1"/>
    </xf>
    <xf numFmtId="1" fontId="6" fillId="0" borderId="69" xfId="2" applyNumberFormat="1" applyFont="1" applyFill="1" applyBorder="1" applyAlignment="1">
      <alignment wrapText="1"/>
    </xf>
    <xf numFmtId="1" fontId="21" fillId="0" borderId="3" xfId="2" applyNumberFormat="1" applyFont="1" applyFill="1" applyBorder="1" applyAlignment="1">
      <alignment wrapText="1"/>
    </xf>
    <xf numFmtId="1" fontId="21" fillId="3" borderId="3" xfId="2" applyNumberFormat="1" applyFont="1" applyFill="1" applyBorder="1" applyAlignment="1">
      <alignment wrapText="1"/>
    </xf>
    <xf numFmtId="1" fontId="5" fillId="0" borderId="31" xfId="2" applyNumberFormat="1" applyFont="1" applyBorder="1" applyAlignment="1">
      <alignment horizontal="center" wrapText="1"/>
    </xf>
    <xf numFmtId="1" fontId="5" fillId="0" borderId="3" xfId="2" applyNumberFormat="1" applyFont="1" applyBorder="1" applyAlignment="1">
      <alignment horizontal="center" wrapText="1"/>
    </xf>
    <xf numFmtId="1" fontId="5" fillId="3" borderId="3" xfId="2" applyNumberFormat="1" applyFont="1" applyFill="1" applyBorder="1" applyAlignment="1">
      <alignment horizontal="center" wrapText="1"/>
    </xf>
    <xf numFmtId="1" fontId="5" fillId="0" borderId="3" xfId="2" applyNumberFormat="1" applyFont="1" applyFill="1" applyBorder="1" applyAlignment="1">
      <alignment horizontal="center" wrapText="1"/>
    </xf>
    <xf numFmtId="1" fontId="6" fillId="0" borderId="45" xfId="2" applyNumberFormat="1" applyFont="1" applyBorder="1" applyAlignment="1">
      <alignment wrapText="1"/>
    </xf>
    <xf numFmtId="1" fontId="5" fillId="0" borderId="54" xfId="2" applyNumberFormat="1" applyFont="1" applyBorder="1" applyAlignment="1">
      <alignment wrapText="1"/>
    </xf>
    <xf numFmtId="1" fontId="5" fillId="3" borderId="54" xfId="2" applyNumberFormat="1" applyFont="1" applyFill="1" applyBorder="1" applyAlignment="1">
      <alignment wrapText="1"/>
    </xf>
    <xf numFmtId="0" fontId="5" fillId="0" borderId="34" xfId="2" applyFont="1" applyBorder="1" applyAlignment="1">
      <alignment horizontal="left" vertical="top" wrapText="1"/>
    </xf>
    <xf numFmtId="1" fontId="5" fillId="2" borderId="1" xfId="2" applyNumberFormat="1" applyFont="1" applyFill="1" applyBorder="1" applyAlignment="1">
      <alignment wrapText="1"/>
    </xf>
    <xf numFmtId="1" fontId="5" fillId="3" borderId="1" xfId="2" applyNumberFormat="1" applyFont="1" applyFill="1" applyBorder="1" applyAlignment="1">
      <alignment wrapText="1"/>
    </xf>
    <xf numFmtId="0" fontId="6" fillId="0" borderId="7" xfId="2" applyFont="1" applyBorder="1" applyAlignment="1">
      <alignment horizontal="right"/>
    </xf>
    <xf numFmtId="0" fontId="6" fillId="0" borderId="1" xfId="2" applyFont="1" applyBorder="1"/>
    <xf numFmtId="0" fontId="6" fillId="0" borderId="34" xfId="2" applyFont="1" applyBorder="1"/>
    <xf numFmtId="1" fontId="6" fillId="2" borderId="1" xfId="2" applyNumberFormat="1" applyFont="1" applyFill="1" applyBorder="1" applyAlignment="1">
      <alignment wrapText="1"/>
    </xf>
    <xf numFmtId="1" fontId="6" fillId="3" borderId="1" xfId="2" applyNumberFormat="1" applyFont="1" applyFill="1" applyBorder="1" applyAlignment="1">
      <alignment wrapText="1"/>
    </xf>
    <xf numFmtId="1" fontId="6" fillId="0" borderId="1" xfId="2" applyNumberFormat="1" applyFont="1" applyFill="1" applyBorder="1" applyAlignment="1">
      <alignment wrapText="1"/>
    </xf>
    <xf numFmtId="0" fontId="24" fillId="0" borderId="0" xfId="4" applyFont="1"/>
    <xf numFmtId="1" fontId="5" fillId="0" borderId="1" xfId="2" applyNumberFormat="1" applyFont="1" applyBorder="1" applyAlignment="1">
      <alignment wrapText="1"/>
    </xf>
    <xf numFmtId="1" fontId="6" fillId="0" borderId="2" xfId="2" applyNumberFormat="1" applyFont="1" applyFill="1" applyBorder="1" applyAlignment="1">
      <alignment wrapText="1"/>
    </xf>
    <xf numFmtId="1" fontId="5" fillId="0" borderId="10" xfId="2" applyNumberFormat="1" applyFont="1" applyFill="1" applyBorder="1" applyAlignment="1">
      <alignment wrapText="1"/>
    </xf>
    <xf numFmtId="1" fontId="5" fillId="0" borderId="7" xfId="2" applyNumberFormat="1" applyFont="1" applyFill="1" applyBorder="1" applyAlignment="1">
      <alignment wrapText="1"/>
    </xf>
    <xf numFmtId="1" fontId="5" fillId="3" borderId="22" xfId="2" applyNumberFormat="1" applyFont="1" applyFill="1" applyBorder="1" applyAlignment="1">
      <alignment wrapText="1"/>
    </xf>
    <xf numFmtId="1" fontId="5" fillId="0" borderId="16" xfId="2" applyNumberFormat="1" applyFont="1" applyFill="1" applyBorder="1" applyAlignment="1">
      <alignment wrapText="1"/>
    </xf>
    <xf numFmtId="1" fontId="16" fillId="0" borderId="0" xfId="4" applyNumberFormat="1" applyFont="1"/>
    <xf numFmtId="1" fontId="16" fillId="3" borderId="0" xfId="4" applyNumberFormat="1" applyFont="1" applyFill="1"/>
    <xf numFmtId="0" fontId="16" fillId="3" borderId="0" xfId="4" applyFont="1" applyFill="1"/>
    <xf numFmtId="3" fontId="10" fillId="0" borderId="1" xfId="0" applyNumberFormat="1" applyFont="1" applyFill="1" applyBorder="1" applyAlignment="1">
      <alignment wrapText="1"/>
    </xf>
    <xf numFmtId="0" fontId="6" fillId="0" borderId="0" xfId="0" applyFont="1" applyAlignment="1">
      <alignment horizontal="center"/>
    </xf>
    <xf numFmtId="0" fontId="41" fillId="0" borderId="0" xfId="0" applyFont="1" applyBorder="1" applyAlignment="1">
      <alignment horizontal="center" wrapText="1"/>
    </xf>
    <xf numFmtId="3" fontId="41" fillId="0" borderId="0" xfId="0" applyNumberFormat="1" applyFont="1" applyFill="1" applyBorder="1"/>
    <xf numFmtId="0" fontId="6" fillId="0" borderId="0" xfId="0" applyFont="1" applyAlignment="1">
      <alignment horizontal="center"/>
    </xf>
    <xf numFmtId="1" fontId="6" fillId="0" borderId="55" xfId="0" applyNumberFormat="1" applyFont="1" applyFill="1" applyBorder="1"/>
    <xf numFmtId="1" fontId="6" fillId="0" borderId="72" xfId="0" applyNumberFormat="1" applyFont="1" applyFill="1" applyBorder="1"/>
    <xf numFmtId="0" fontId="6" fillId="0" borderId="94" xfId="0" applyFont="1" applyFill="1" applyBorder="1"/>
    <xf numFmtId="0" fontId="6" fillId="0" borderId="91" xfId="0" applyFont="1" applyFill="1" applyBorder="1"/>
    <xf numFmtId="0" fontId="6" fillId="0" borderId="119" xfId="0" applyFont="1" applyFill="1" applyBorder="1"/>
    <xf numFmtId="0" fontId="6" fillId="0" borderId="58" xfId="0" applyFont="1" applyFill="1" applyBorder="1"/>
    <xf numFmtId="1" fontId="6" fillId="0" borderId="118" xfId="0" applyNumberFormat="1" applyFont="1" applyFill="1" applyBorder="1"/>
    <xf numFmtId="1" fontId="6" fillId="0" borderId="120" xfId="0" applyNumberFormat="1" applyFont="1" applyFill="1" applyBorder="1"/>
    <xf numFmtId="1" fontId="6" fillId="0" borderId="69" xfId="0" applyNumberFormat="1" applyFont="1" applyFill="1" applyBorder="1"/>
    <xf numFmtId="0" fontId="24" fillId="0" borderId="21" xfId="0" applyFont="1" applyBorder="1"/>
    <xf numFmtId="0" fontId="6" fillId="0" borderId="87" xfId="0" applyFont="1" applyFill="1" applyBorder="1"/>
    <xf numFmtId="0" fontId="5" fillId="0" borderId="100" xfId="0" applyFont="1" applyBorder="1" applyAlignment="1">
      <alignment horizontal="center" wrapText="1"/>
    </xf>
    <xf numFmtId="0" fontId="6" fillId="0" borderId="115" xfId="0" applyFont="1" applyFill="1" applyBorder="1"/>
    <xf numFmtId="1" fontId="6" fillId="0" borderId="26" xfId="0" applyNumberFormat="1" applyFont="1" applyFill="1" applyBorder="1"/>
    <xf numFmtId="0" fontId="5" fillId="0" borderId="32" xfId="2" applyFont="1" applyFill="1" applyBorder="1"/>
    <xf numFmtId="4" fontId="5" fillId="0" borderId="34" xfId="2" applyNumberFormat="1" applyFont="1" applyFill="1" applyBorder="1"/>
    <xf numFmtId="3" fontId="17" fillId="0" borderId="34" xfId="2" applyNumberFormat="1" applyFont="1" applyFill="1" applyBorder="1" applyAlignment="1">
      <alignment wrapText="1"/>
    </xf>
    <xf numFmtId="3" fontId="5" fillId="0" borderId="36" xfId="2" applyNumberFormat="1" applyFont="1" applyFill="1" applyBorder="1"/>
    <xf numFmtId="4" fontId="17" fillId="0" borderId="3" xfId="2" applyNumberFormat="1" applyFont="1" applyFill="1" applyBorder="1" applyAlignment="1">
      <alignment wrapText="1"/>
    </xf>
    <xf numFmtId="0" fontId="5" fillId="0" borderId="3" xfId="2" applyFont="1" applyFill="1" applyBorder="1" applyAlignment="1">
      <alignment horizontal="center" wrapText="1"/>
    </xf>
    <xf numFmtId="3" fontId="5" fillId="0" borderId="54" xfId="2" applyNumberFormat="1" applyFont="1" applyFill="1" applyBorder="1" applyAlignment="1">
      <alignment wrapText="1"/>
    </xf>
    <xf numFmtId="3" fontId="5" fillId="0" borderId="1" xfId="2" applyNumberFormat="1" applyFont="1" applyFill="1" applyBorder="1" applyAlignment="1">
      <alignment wrapText="1"/>
    </xf>
    <xf numFmtId="3" fontId="5" fillId="0" borderId="22" xfId="2" applyNumberFormat="1" applyFont="1" applyFill="1" applyBorder="1" applyAlignment="1">
      <alignment wrapText="1"/>
    </xf>
    <xf numFmtId="3" fontId="5" fillId="0" borderId="16" xfId="2" applyNumberFormat="1" applyFont="1" applyFill="1" applyBorder="1" applyAlignment="1">
      <alignment wrapText="1"/>
    </xf>
    <xf numFmtId="0" fontId="16" fillId="0" borderId="90" xfId="4" applyFont="1" applyFill="1" applyBorder="1" applyAlignment="1">
      <alignment vertical="center" wrapText="1"/>
    </xf>
    <xf numFmtId="0" fontId="10" fillId="0" borderId="16" xfId="2" applyFont="1" applyFill="1" applyBorder="1" applyAlignment="1">
      <alignment horizontal="center" wrapText="1"/>
    </xf>
    <xf numFmtId="3" fontId="6" fillId="0" borderId="25" xfId="2" applyNumberFormat="1" applyFont="1" applyFill="1" applyBorder="1"/>
    <xf numFmtId="3" fontId="6" fillId="0" borderId="98" xfId="2" applyNumberFormat="1" applyFont="1" applyFill="1" applyBorder="1"/>
    <xf numFmtId="3" fontId="6" fillId="0" borderId="1" xfId="2" applyNumberFormat="1" applyFont="1" applyFill="1" applyBorder="1"/>
    <xf numFmtId="3" fontId="17" fillId="0" borderId="16" xfId="2" applyNumberFormat="1" applyFont="1" applyFill="1" applyBorder="1"/>
    <xf numFmtId="3" fontId="6" fillId="0" borderId="65" xfId="2" applyNumberFormat="1" applyFont="1" applyFill="1" applyBorder="1"/>
    <xf numFmtId="3" fontId="6" fillId="0" borderId="10" xfId="2" applyNumberFormat="1" applyFont="1" applyFill="1" applyBorder="1"/>
    <xf numFmtId="3" fontId="5" fillId="0" borderId="7" xfId="2" applyNumberFormat="1" applyFont="1" applyFill="1" applyBorder="1"/>
    <xf numFmtId="3" fontId="6" fillId="0" borderId="12" xfId="2" applyNumberFormat="1" applyFont="1" applyFill="1" applyBorder="1"/>
    <xf numFmtId="3" fontId="6" fillId="0" borderId="25" xfId="2" applyNumberFormat="1" applyFont="1" applyBorder="1"/>
    <xf numFmtId="3" fontId="6" fillId="0" borderId="10" xfId="2" applyNumberFormat="1" applyFont="1" applyBorder="1"/>
    <xf numFmtId="3" fontId="5" fillId="0" borderId="10" xfId="2" applyNumberFormat="1" applyFont="1" applyBorder="1"/>
    <xf numFmtId="3" fontId="6" fillId="0" borderId="98" xfId="2" applyNumberFormat="1" applyFont="1" applyBorder="1"/>
    <xf numFmtId="3" fontId="6" fillId="0" borderId="1" xfId="2" applyNumberFormat="1" applyFont="1" applyBorder="1"/>
    <xf numFmtId="3" fontId="6" fillId="0" borderId="9" xfId="2" applyNumberFormat="1" applyFont="1" applyBorder="1"/>
    <xf numFmtId="3" fontId="6" fillId="0" borderId="121" xfId="2" applyNumberFormat="1" applyFont="1" applyBorder="1"/>
    <xf numFmtId="49" fontId="36" fillId="0" borderId="0" xfId="2" applyNumberFormat="1" applyFont="1" applyFill="1" applyAlignment="1">
      <alignment horizontal="center"/>
    </xf>
    <xf numFmtId="0" fontId="36" fillId="0" borderId="0" xfId="2" applyFont="1" applyFill="1"/>
    <xf numFmtId="0" fontId="69" fillId="0" borderId="60" xfId="4" applyFont="1" applyFill="1" applyBorder="1" applyAlignment="1">
      <alignment horizontal="left" wrapText="1"/>
    </xf>
    <xf numFmtId="0" fontId="69" fillId="0" borderId="60" xfId="4" applyFont="1" applyFill="1" applyBorder="1" applyAlignment="1">
      <alignment horizontal="center" wrapText="1"/>
    </xf>
    <xf numFmtId="0" fontId="65" fillId="0" borderId="78" xfId="2" applyFont="1" applyFill="1" applyBorder="1" applyAlignment="1">
      <alignment horizontal="center" wrapText="1"/>
    </xf>
    <xf numFmtId="0" fontId="65" fillId="0" borderId="0" xfId="2" applyFont="1" applyFill="1" applyAlignment="1">
      <alignment horizontal="center"/>
    </xf>
    <xf numFmtId="0" fontId="36" fillId="0" borderId="70" xfId="2" applyFont="1" applyFill="1" applyBorder="1" applyAlignment="1">
      <alignment horizontal="center" wrapText="1"/>
    </xf>
    <xf numFmtId="0" fontId="36" fillId="0" borderId="3" xfId="2" applyFont="1" applyFill="1" applyBorder="1" applyAlignment="1">
      <alignment horizontal="center" wrapText="1"/>
    </xf>
    <xf numFmtId="0" fontId="36" fillId="0" borderId="13" xfId="2" applyFont="1" applyFill="1" applyBorder="1" applyAlignment="1">
      <alignment horizontal="center" wrapText="1"/>
    </xf>
    <xf numFmtId="1" fontId="3" fillId="0" borderId="25" xfId="2" applyNumberFormat="1" applyFont="1" applyFill="1" applyBorder="1"/>
    <xf numFmtId="1" fontId="3" fillId="0" borderId="4" xfId="2" applyNumberFormat="1" applyFont="1" applyFill="1" applyBorder="1"/>
    <xf numFmtId="1" fontId="3" fillId="0" borderId="23" xfId="2" applyNumberFormat="1" applyFont="1" applyFill="1" applyBorder="1"/>
    <xf numFmtId="0" fontId="38" fillId="0" borderId="0" xfId="2" applyFont="1" applyFill="1"/>
    <xf numFmtId="1" fontId="3" fillId="0" borderId="10" xfId="2" applyNumberFormat="1" applyFont="1" applyFill="1" applyBorder="1"/>
    <xf numFmtId="1" fontId="3" fillId="0" borderId="5" xfId="2" applyNumberFormat="1" applyFont="1" applyFill="1" applyBorder="1"/>
    <xf numFmtId="1" fontId="36" fillId="0" borderId="10" xfId="2" applyNumberFormat="1" applyFont="1" applyFill="1" applyBorder="1"/>
    <xf numFmtId="1" fontId="36" fillId="0" borderId="1" xfId="2" applyNumberFormat="1" applyFont="1" applyFill="1" applyBorder="1"/>
    <xf numFmtId="1" fontId="36" fillId="0" borderId="5" xfId="2" applyNumberFormat="1" applyFont="1" applyFill="1" applyBorder="1"/>
    <xf numFmtId="0" fontId="3" fillId="0" borderId="7" xfId="2" applyFont="1" applyFill="1" applyBorder="1" applyAlignment="1">
      <alignment horizontal="right"/>
    </xf>
    <xf numFmtId="0" fontId="3" fillId="0" borderId="1" xfId="2" applyFont="1" applyFill="1" applyBorder="1"/>
    <xf numFmtId="0" fontId="69" fillId="0" borderId="34" xfId="2" applyFont="1" applyFill="1" applyBorder="1"/>
    <xf numFmtId="0" fontId="36" fillId="0" borderId="7" xfId="2" applyFont="1" applyFill="1" applyBorder="1" applyAlignment="1">
      <alignment horizontal="right"/>
    </xf>
    <xf numFmtId="0" fontId="36" fillId="0" borderId="1" xfId="2" applyFont="1" applyFill="1" applyBorder="1"/>
    <xf numFmtId="0" fontId="65" fillId="0" borderId="34" xfId="2" applyFont="1" applyFill="1" applyBorder="1"/>
    <xf numFmtId="0" fontId="40" fillId="0" borderId="34" xfId="4" applyFont="1" applyFill="1" applyBorder="1" applyAlignment="1">
      <alignment wrapText="1"/>
    </xf>
    <xf numFmtId="3" fontId="52" fillId="0" borderId="0" xfId="0" applyNumberFormat="1" applyFont="1" applyBorder="1"/>
    <xf numFmtId="0" fontId="10" fillId="0" borderId="4" xfId="0" applyFont="1" applyBorder="1"/>
    <xf numFmtId="0" fontId="5" fillId="0" borderId="7" xfId="0" applyFont="1" applyBorder="1" applyAlignment="1"/>
    <xf numFmtId="0" fontId="5" fillId="0" borderId="7" xfId="0" applyFont="1" applyBorder="1" applyAlignment="1">
      <alignment horizontal="left"/>
    </xf>
    <xf numFmtId="0" fontId="5" fillId="0" borderId="7" xfId="0" applyFont="1" applyFill="1" applyBorder="1" applyAlignment="1">
      <alignment horizontal="left" vertical="center"/>
    </xf>
    <xf numFmtId="0" fontId="10" fillId="0" borderId="7" xfId="0" applyFont="1" applyBorder="1" applyAlignment="1"/>
    <xf numFmtId="0" fontId="10" fillId="0" borderId="79" xfId="0" applyFont="1" applyBorder="1" applyAlignment="1"/>
    <xf numFmtId="3" fontId="17" fillId="0" borderId="1" xfId="2" applyNumberFormat="1" applyFont="1" applyFill="1" applyBorder="1" applyAlignment="1">
      <alignment wrapText="1"/>
    </xf>
    <xf numFmtId="3" fontId="5" fillId="0" borderId="25" xfId="2" applyNumberFormat="1" applyFont="1" applyFill="1" applyBorder="1"/>
    <xf numFmtId="3" fontId="5" fillId="3" borderId="1" xfId="2" applyNumberFormat="1" applyFont="1" applyFill="1" applyBorder="1" applyAlignment="1">
      <alignment wrapText="1"/>
    </xf>
    <xf numFmtId="3" fontId="6" fillId="0" borderId="9" xfId="2" applyNumberFormat="1" applyFont="1" applyFill="1" applyBorder="1"/>
    <xf numFmtId="3" fontId="6" fillId="0" borderId="97" xfId="2" applyNumberFormat="1" applyFont="1" applyFill="1" applyBorder="1"/>
    <xf numFmtId="3" fontId="6" fillId="0" borderId="73" xfId="2" applyNumberFormat="1" applyFont="1" applyFill="1" applyBorder="1"/>
    <xf numFmtId="0" fontId="5" fillId="0" borderId="0" xfId="2" applyFont="1" applyAlignment="1">
      <alignment vertical="center"/>
    </xf>
    <xf numFmtId="1" fontId="5" fillId="0" borderId="0" xfId="2" applyNumberFormat="1" applyFont="1" applyAlignment="1">
      <alignment vertical="center" wrapText="1"/>
    </xf>
    <xf numFmtId="1" fontId="5" fillId="0" borderId="0" xfId="2" applyNumberFormat="1" applyFont="1" applyAlignment="1">
      <alignment horizontal="center" vertical="center" wrapText="1"/>
    </xf>
    <xf numFmtId="1" fontId="5" fillId="0" borderId="0" xfId="2" applyNumberFormat="1" applyFont="1" applyBorder="1" applyAlignment="1">
      <alignment vertical="center"/>
    </xf>
    <xf numFmtId="1" fontId="5" fillId="3" borderId="0" xfId="2" applyNumberFormat="1" applyFont="1" applyFill="1" applyBorder="1" applyAlignment="1">
      <alignment vertical="center"/>
    </xf>
    <xf numFmtId="1" fontId="5" fillId="0" borderId="0" xfId="2" applyNumberFormat="1" applyFont="1" applyFill="1" applyBorder="1" applyAlignment="1">
      <alignment vertical="center"/>
    </xf>
    <xf numFmtId="1" fontId="5" fillId="0" borderId="0" xfId="2" applyNumberFormat="1" applyFont="1" applyFill="1" applyAlignment="1">
      <alignment vertical="center"/>
    </xf>
    <xf numFmtId="1" fontId="5" fillId="3" borderId="0" xfId="2" applyNumberFormat="1" applyFont="1" applyFill="1" applyAlignment="1">
      <alignment vertical="center" wrapText="1"/>
    </xf>
    <xf numFmtId="0" fontId="5" fillId="0" borderId="0" xfId="2" applyFont="1" applyFill="1" applyBorder="1" applyAlignment="1">
      <alignment vertical="center"/>
    </xf>
    <xf numFmtId="0" fontId="16" fillId="0" borderId="0" xfId="4" applyFont="1" applyAlignment="1">
      <alignment vertical="center"/>
    </xf>
    <xf numFmtId="0" fontId="56" fillId="0" borderId="0" xfId="0" applyFont="1"/>
    <xf numFmtId="0" fontId="6" fillId="0" borderId="0" xfId="0" applyFont="1" applyAlignment="1">
      <alignment horizontal="center"/>
    </xf>
    <xf numFmtId="0" fontId="59" fillId="0" borderId="34" xfId="0" applyFont="1" applyBorder="1"/>
    <xf numFmtId="0" fontId="59" fillId="0" borderId="5" xfId="0" applyFont="1" applyFill="1" applyBorder="1"/>
    <xf numFmtId="0" fontId="59" fillId="0" borderId="6" xfId="0" applyFont="1" applyBorder="1"/>
    <xf numFmtId="0" fontId="74" fillId="0" borderId="0" xfId="0" applyFont="1" applyFill="1" applyAlignment="1">
      <alignment horizontal="center" wrapText="1"/>
    </xf>
    <xf numFmtId="0" fontId="80" fillId="0" borderId="0" xfId="2" applyFont="1" applyBorder="1" applyAlignment="1">
      <alignment horizontal="right"/>
    </xf>
    <xf numFmtId="1" fontId="80" fillId="0" borderId="0" xfId="2" applyNumberFormat="1" applyFont="1" applyFill="1" applyBorder="1"/>
    <xf numFmtId="1" fontId="80" fillId="0" borderId="0" xfId="2" applyNumberFormat="1" applyFont="1" applyBorder="1"/>
    <xf numFmtId="1" fontId="6" fillId="0" borderId="101" xfId="0" applyNumberFormat="1" applyFont="1" applyFill="1" applyBorder="1"/>
    <xf numFmtId="3" fontId="5" fillId="0" borderId="0" xfId="0" applyNumberFormat="1" applyFont="1" applyFill="1" applyBorder="1" applyAlignment="1">
      <alignment horizontal="right"/>
    </xf>
    <xf numFmtId="0" fontId="10" fillId="0" borderId="10" xfId="0" applyFont="1" applyBorder="1"/>
    <xf numFmtId="0" fontId="5" fillId="0" borderId="22" xfId="2" applyFont="1" applyBorder="1" applyAlignment="1">
      <alignment horizontal="center" vertical="center" wrapText="1"/>
    </xf>
    <xf numFmtId="0" fontId="16" fillId="0" borderId="22" xfId="2" applyFont="1" applyFill="1" applyBorder="1" applyAlignment="1">
      <alignment horizontal="left" vertical="top" wrapText="1"/>
    </xf>
    <xf numFmtId="0" fontId="16" fillId="0" borderId="22" xfId="7" applyFont="1" applyFill="1" applyBorder="1" applyAlignment="1">
      <alignment horizontal="left" vertical="top" wrapText="1"/>
    </xf>
    <xf numFmtId="0" fontId="20" fillId="0" borderId="22" xfId="4" applyFont="1" applyFill="1" applyBorder="1" applyAlignment="1">
      <alignment horizontal="left" vertical="top" wrapText="1"/>
    </xf>
    <xf numFmtId="0" fontId="16" fillId="3" borderId="22" xfId="2" applyFont="1" applyFill="1" applyBorder="1" applyAlignment="1">
      <alignment horizontal="left" vertical="top" wrapText="1"/>
    </xf>
    <xf numFmtId="0" fontId="5" fillId="0" borderId="30" xfId="2" applyFont="1" applyBorder="1" applyAlignment="1">
      <alignment horizontal="center"/>
    </xf>
    <xf numFmtId="0" fontId="5" fillId="0" borderId="31" xfId="2" applyFont="1" applyBorder="1" applyAlignment="1">
      <alignment horizontal="center" wrapText="1"/>
    </xf>
    <xf numFmtId="0" fontId="5" fillId="0" borderId="20" xfId="2" applyFont="1" applyFill="1" applyBorder="1" applyAlignment="1">
      <alignment horizontal="center" wrapText="1"/>
    </xf>
    <xf numFmtId="0" fontId="5" fillId="3" borderId="20" xfId="2" applyFont="1" applyFill="1" applyBorder="1" applyAlignment="1">
      <alignment horizontal="center" wrapText="1"/>
    </xf>
    <xf numFmtId="0" fontId="5" fillId="0" borderId="31" xfId="2" applyFont="1" applyFill="1" applyBorder="1" applyAlignment="1">
      <alignment horizontal="center" wrapText="1"/>
    </xf>
    <xf numFmtId="0" fontId="5" fillId="3" borderId="31" xfId="2" applyFont="1" applyFill="1" applyBorder="1" applyAlignment="1">
      <alignment horizontal="center" wrapText="1"/>
    </xf>
    <xf numFmtId="1" fontId="5" fillId="0" borderId="23" xfId="2" applyNumberFormat="1" applyFont="1" applyFill="1" applyBorder="1"/>
    <xf numFmtId="1" fontId="5" fillId="0" borderId="5" xfId="2" applyNumberFormat="1" applyFont="1" applyFill="1" applyBorder="1"/>
    <xf numFmtId="1" fontId="5" fillId="0" borderId="24" xfId="2" applyNumberFormat="1" applyFont="1" applyFill="1" applyBorder="1"/>
    <xf numFmtId="0" fontId="10" fillId="3" borderId="1" xfId="0" applyFont="1" applyFill="1" applyBorder="1" applyAlignment="1">
      <alignment wrapText="1"/>
    </xf>
    <xf numFmtId="3" fontId="17" fillId="3" borderId="5" xfId="2" applyNumberFormat="1" applyFont="1" applyFill="1" applyBorder="1" applyAlignment="1">
      <alignment wrapText="1"/>
    </xf>
    <xf numFmtId="3" fontId="5" fillId="3" borderId="5" xfId="2" applyNumberFormat="1" applyFont="1" applyFill="1" applyBorder="1" applyAlignment="1">
      <alignment wrapText="1"/>
    </xf>
    <xf numFmtId="0" fontId="10" fillId="0" borderId="60" xfId="0" applyFont="1" applyFill="1" applyBorder="1" applyAlignment="1">
      <alignment horizontal="center" wrapText="1"/>
    </xf>
    <xf numFmtId="0" fontId="11" fillId="0" borderId="78" xfId="0" applyFont="1" applyFill="1" applyBorder="1" applyAlignment="1">
      <alignment horizontal="center" wrapText="1"/>
    </xf>
    <xf numFmtId="0" fontId="10" fillId="0" borderId="56" xfId="0" applyFont="1" applyFill="1" applyBorder="1" applyAlignment="1">
      <alignment wrapText="1"/>
    </xf>
    <xf numFmtId="3" fontId="10" fillId="0" borderId="72" xfId="0" applyNumberFormat="1" applyFont="1" applyFill="1" applyBorder="1"/>
    <xf numFmtId="0" fontId="10" fillId="0" borderId="7" xfId="0" applyFont="1" applyFill="1" applyBorder="1" applyAlignment="1">
      <alignment wrapText="1"/>
    </xf>
    <xf numFmtId="0" fontId="10" fillId="3" borderId="7" xfId="0" applyFont="1" applyFill="1" applyBorder="1" applyAlignment="1">
      <alignment wrapText="1"/>
    </xf>
    <xf numFmtId="4" fontId="10" fillId="0" borderId="9" xfId="0" applyNumberFormat="1" applyFont="1" applyFill="1" applyBorder="1" applyAlignment="1">
      <alignment wrapText="1"/>
    </xf>
    <xf numFmtId="0" fontId="10" fillId="3" borderId="7" xfId="0" applyFont="1" applyFill="1" applyBorder="1" applyAlignment="1">
      <alignment horizontal="left"/>
    </xf>
    <xf numFmtId="4" fontId="12" fillId="0" borderId="20" xfId="0" applyNumberFormat="1" applyFont="1" applyFill="1" applyBorder="1" applyAlignment="1">
      <alignment wrapText="1"/>
    </xf>
    <xf numFmtId="0" fontId="6" fillId="0" borderId="0" xfId="0" applyFont="1" applyAlignment="1">
      <alignment horizontal="center"/>
    </xf>
    <xf numFmtId="1" fontId="5" fillId="3" borderId="34" xfId="2" applyNumberFormat="1" applyFont="1" applyFill="1" applyBorder="1"/>
    <xf numFmtId="0" fontId="5" fillId="0" borderId="0" xfId="0" applyFont="1" applyAlignment="1">
      <alignment horizontal="center"/>
    </xf>
    <xf numFmtId="0" fontId="16" fillId="0" borderId="22" xfId="4" applyFont="1" applyFill="1" applyBorder="1" applyAlignment="1">
      <alignment horizontal="left" vertical="top" wrapText="1"/>
    </xf>
    <xf numFmtId="0" fontId="79" fillId="0" borderId="1" xfId="0" applyFont="1" applyBorder="1" applyAlignment="1">
      <alignment wrapText="1"/>
    </xf>
    <xf numFmtId="0" fontId="77" fillId="0" borderId="1" xfId="0" applyFont="1" applyBorder="1" applyAlignment="1">
      <alignment wrapText="1"/>
    </xf>
    <xf numFmtId="0" fontId="81" fillId="0" borderId="0" xfId="0" applyFont="1" applyAlignment="1">
      <alignment wrapText="1"/>
    </xf>
    <xf numFmtId="0" fontId="10" fillId="4" borderId="122" xfId="0" applyFont="1" applyFill="1" applyBorder="1" applyAlignment="1">
      <alignment horizontal="left" vertical="center" wrapText="1"/>
    </xf>
    <xf numFmtId="0" fontId="12" fillId="0" borderId="20" xfId="0" applyFont="1" applyBorder="1" applyAlignment="1">
      <alignment horizontal="right" wrapText="1"/>
    </xf>
    <xf numFmtId="0" fontId="6" fillId="0" borderId="3" xfId="0" applyFont="1" applyFill="1" applyBorder="1"/>
    <xf numFmtId="3" fontId="5" fillId="0" borderId="96" xfId="0" applyNumberFormat="1" applyFont="1" applyFill="1" applyBorder="1"/>
    <xf numFmtId="49" fontId="5" fillId="3" borderId="72" xfId="2" applyNumberFormat="1" applyFont="1" applyFill="1" applyBorder="1" applyAlignment="1">
      <alignment horizontal="center"/>
    </xf>
    <xf numFmtId="49" fontId="5" fillId="3" borderId="60" xfId="2" applyNumberFormat="1" applyFont="1" applyFill="1" applyBorder="1" applyAlignment="1">
      <alignment horizontal="center"/>
    </xf>
    <xf numFmtId="49" fontId="36" fillId="3" borderId="60" xfId="2" applyNumberFormat="1" applyFont="1" applyFill="1" applyBorder="1" applyAlignment="1">
      <alignment horizontal="center"/>
    </xf>
    <xf numFmtId="49" fontId="5" fillId="3" borderId="64" xfId="2" applyNumberFormat="1" applyFont="1" applyFill="1" applyBorder="1" applyAlignment="1">
      <alignment horizontal="center"/>
    </xf>
    <xf numFmtId="49" fontId="5" fillId="3" borderId="78" xfId="2" applyNumberFormat="1" applyFont="1" applyFill="1" applyBorder="1" applyAlignment="1">
      <alignment horizontal="center"/>
    </xf>
    <xf numFmtId="3" fontId="5" fillId="3" borderId="1" xfId="0" applyNumberFormat="1" applyFont="1" applyFill="1" applyBorder="1"/>
    <xf numFmtId="0" fontId="16" fillId="3" borderId="22" xfId="4" applyFont="1" applyFill="1" applyBorder="1" applyAlignment="1">
      <alignment horizontal="left" vertical="top" wrapText="1"/>
    </xf>
    <xf numFmtId="1" fontId="6" fillId="3" borderId="31" xfId="2" applyNumberFormat="1" applyFont="1" applyFill="1" applyBorder="1" applyAlignment="1">
      <alignment wrapText="1"/>
    </xf>
    <xf numFmtId="1" fontId="5" fillId="3" borderId="16" xfId="2" applyNumberFormat="1" applyFont="1" applyFill="1" applyBorder="1" applyAlignment="1">
      <alignment wrapText="1"/>
    </xf>
    <xf numFmtId="0" fontId="5" fillId="3" borderId="8" xfId="2" applyFont="1" applyFill="1" applyBorder="1" applyAlignment="1">
      <alignment horizontal="center" wrapText="1"/>
    </xf>
    <xf numFmtId="0" fontId="5" fillId="3" borderId="70" xfId="2" applyFont="1" applyFill="1" applyBorder="1" applyAlignment="1">
      <alignment horizontal="center" wrapText="1"/>
    </xf>
    <xf numFmtId="0" fontId="5" fillId="3" borderId="13" xfId="2" applyFont="1" applyFill="1" applyBorder="1" applyAlignment="1">
      <alignment horizontal="center" wrapText="1"/>
    </xf>
    <xf numFmtId="1" fontId="6" fillId="3" borderId="4" xfId="2" applyNumberFormat="1" applyFont="1" applyFill="1" applyBorder="1" applyAlignment="1">
      <alignment wrapText="1"/>
    </xf>
    <xf numFmtId="0" fontId="5" fillId="0" borderId="0" xfId="0" applyFont="1" applyAlignment="1">
      <alignment horizontal="center"/>
    </xf>
    <xf numFmtId="0" fontId="78" fillId="3" borderId="22" xfId="7" applyFont="1" applyFill="1" applyBorder="1" applyAlignment="1">
      <alignment horizontal="left" vertical="top" wrapText="1"/>
    </xf>
    <xf numFmtId="0" fontId="78" fillId="3" borderId="22" xfId="7" applyFont="1" applyFill="1" applyBorder="1" applyAlignment="1">
      <alignment horizontal="center" vertical="top" wrapText="1"/>
    </xf>
    <xf numFmtId="0" fontId="78" fillId="3" borderId="24" xfId="7" applyFont="1" applyFill="1" applyBorder="1" applyAlignment="1">
      <alignment horizontal="center" wrapText="1"/>
    </xf>
    <xf numFmtId="3" fontId="21" fillId="0" borderId="3" xfId="2" applyNumberFormat="1" applyFont="1" applyFill="1" applyBorder="1" applyAlignment="1">
      <alignment wrapText="1"/>
    </xf>
    <xf numFmtId="0" fontId="82" fillId="0" borderId="0" xfId="0" applyFont="1" applyAlignment="1">
      <alignment wrapText="1"/>
    </xf>
    <xf numFmtId="0" fontId="69" fillId="0" borderId="60" xfId="2" applyFont="1" applyFill="1" applyBorder="1" applyAlignment="1">
      <alignment horizontal="center" wrapText="1"/>
    </xf>
    <xf numFmtId="0" fontId="83" fillId="0" borderId="0" xfId="0" applyFont="1"/>
    <xf numFmtId="0" fontId="5" fillId="0" borderId="0" xfId="0" applyFont="1" applyBorder="1" applyAlignment="1">
      <alignment horizontal="left" wrapText="1"/>
    </xf>
    <xf numFmtId="0" fontId="5" fillId="0" borderId="0" xfId="0" applyFont="1" applyAlignment="1">
      <alignment horizontal="center"/>
    </xf>
    <xf numFmtId="0" fontId="15" fillId="0" borderId="0" xfId="0" applyFont="1" applyFill="1" applyBorder="1" applyAlignment="1">
      <alignment horizontal="center" wrapText="1"/>
    </xf>
    <xf numFmtId="3" fontId="6" fillId="0" borderId="3" xfId="2" applyNumberFormat="1" applyFont="1" applyFill="1" applyBorder="1" applyAlignment="1">
      <alignment wrapText="1"/>
    </xf>
    <xf numFmtId="3" fontId="59" fillId="3" borderId="0" xfId="2" applyNumberFormat="1" applyFont="1" applyFill="1" applyBorder="1"/>
    <xf numFmtId="3" fontId="5" fillId="3" borderId="4" xfId="2" applyNumberFormat="1" applyFont="1" applyFill="1" applyBorder="1"/>
    <xf numFmtId="3" fontId="5" fillId="3" borderId="25" xfId="2" applyNumberFormat="1" applyFont="1" applyFill="1" applyBorder="1"/>
    <xf numFmtId="3" fontId="5" fillId="3" borderId="1" xfId="2" applyNumberFormat="1" applyFont="1" applyFill="1" applyBorder="1"/>
    <xf numFmtId="49" fontId="36" fillId="3" borderId="31" xfId="2" applyNumberFormat="1" applyFont="1" applyFill="1" applyBorder="1" applyAlignment="1">
      <alignment horizontal="center"/>
    </xf>
    <xf numFmtId="49" fontId="36" fillId="3" borderId="64" xfId="2" applyNumberFormat="1" applyFont="1" applyFill="1" applyBorder="1" applyAlignment="1">
      <alignment horizontal="center"/>
    </xf>
    <xf numFmtId="49" fontId="36" fillId="3" borderId="60" xfId="4" applyNumberFormat="1" applyFont="1" applyFill="1" applyBorder="1" applyAlignment="1">
      <alignment horizontal="center"/>
    </xf>
    <xf numFmtId="1" fontId="3" fillId="3" borderId="1" xfId="2" applyNumberFormat="1" applyFont="1" applyFill="1" applyBorder="1"/>
    <xf numFmtId="3" fontId="26" fillId="0" borderId="0" xfId="0" applyNumberFormat="1" applyFont="1" applyFill="1"/>
    <xf numFmtId="1" fontId="53" fillId="0" borderId="0" xfId="0" applyNumberFormat="1" applyFont="1" applyFill="1"/>
    <xf numFmtId="0" fontId="6" fillId="0" borderId="123" xfId="0" applyFont="1" applyBorder="1"/>
    <xf numFmtId="0" fontId="17" fillId="0" borderId="124" xfId="0" applyNumberFormat="1" applyFont="1" applyFill="1" applyBorder="1" applyAlignment="1" applyProtection="1">
      <alignment horizontal="left" wrapText="1"/>
    </xf>
    <xf numFmtId="1" fontId="17" fillId="0" borderId="124" xfId="0" applyNumberFormat="1" applyFont="1" applyFill="1" applyBorder="1" applyAlignment="1" applyProtection="1">
      <alignment horizontal="right" wrapText="1"/>
    </xf>
    <xf numFmtId="0" fontId="6" fillId="0" borderId="1" xfId="0" applyFont="1" applyBorder="1" applyAlignment="1">
      <alignment wrapText="1"/>
    </xf>
    <xf numFmtId="49" fontId="5" fillId="0" borderId="1" xfId="0" applyNumberFormat="1" applyFont="1" applyFill="1" applyBorder="1" applyAlignment="1">
      <alignment horizontal="left" wrapText="1"/>
    </xf>
    <xf numFmtId="49" fontId="5" fillId="0" borderId="1" xfId="0" applyNumberFormat="1" applyFont="1" applyFill="1" applyBorder="1" applyAlignment="1">
      <alignment horizontal="left"/>
    </xf>
    <xf numFmtId="0" fontId="24" fillId="0" borderId="9" xfId="0" applyFont="1" applyFill="1" applyBorder="1"/>
    <xf numFmtId="1" fontId="6" fillId="0" borderId="107" xfId="0" applyNumberFormat="1" applyFont="1" applyFill="1" applyBorder="1"/>
    <xf numFmtId="0" fontId="50" fillId="0" borderId="7" xfId="0" applyFont="1" applyFill="1" applyBorder="1" applyAlignment="1">
      <alignment horizontal="left" wrapText="1"/>
    </xf>
    <xf numFmtId="3" fontId="5" fillId="0" borderId="24" xfId="0" applyNumberFormat="1" applyFont="1" applyFill="1" applyBorder="1" applyAlignment="1"/>
    <xf numFmtId="3" fontId="5" fillId="0" borderId="5" xfId="0" applyNumberFormat="1" applyFont="1" applyFill="1" applyBorder="1" applyAlignment="1"/>
    <xf numFmtId="0" fontId="77" fillId="0" borderId="1" xfId="0" applyFont="1" applyFill="1" applyBorder="1" applyAlignment="1">
      <alignment wrapText="1"/>
    </xf>
    <xf numFmtId="3" fontId="10" fillId="0" borderId="7" xfId="0" applyNumberFormat="1" applyFont="1" applyBorder="1"/>
    <xf numFmtId="3" fontId="10" fillId="0" borderId="12" xfId="0" applyNumberFormat="1" applyFont="1" applyBorder="1"/>
    <xf numFmtId="0" fontId="10" fillId="0" borderId="8" xfId="0" applyFont="1" applyFill="1" applyBorder="1" applyAlignment="1">
      <alignment horizontal="center" wrapText="1"/>
    </xf>
    <xf numFmtId="0" fontId="10" fillId="0" borderId="3" xfId="0" applyFont="1" applyFill="1" applyBorder="1" applyAlignment="1">
      <alignment horizontal="center" wrapText="1"/>
    </xf>
    <xf numFmtId="0" fontId="11" fillId="0" borderId="13" xfId="0" applyFont="1" applyFill="1" applyBorder="1" applyAlignment="1">
      <alignment horizontal="center" wrapText="1"/>
    </xf>
    <xf numFmtId="3" fontId="10" fillId="0" borderId="11" xfId="0" applyNumberFormat="1" applyFont="1" applyBorder="1"/>
    <xf numFmtId="0" fontId="10" fillId="0" borderId="22" xfId="0" applyFont="1" applyFill="1" applyBorder="1" applyAlignment="1">
      <alignment wrapText="1"/>
    </xf>
    <xf numFmtId="3" fontId="10" fillId="0" borderId="24" xfId="0" applyNumberFormat="1" applyFont="1" applyFill="1" applyBorder="1"/>
    <xf numFmtId="3" fontId="10" fillId="0" borderId="8" xfId="0" applyNumberFormat="1" applyFont="1" applyBorder="1"/>
    <xf numFmtId="0" fontId="12" fillId="0" borderId="3" xfId="0" applyFont="1" applyFill="1" applyBorder="1" applyAlignment="1">
      <alignment wrapText="1"/>
    </xf>
    <xf numFmtId="3" fontId="59" fillId="0" borderId="0" xfId="0" applyNumberFormat="1" applyFont="1"/>
    <xf numFmtId="0" fontId="77" fillId="0" borderId="0" xfId="0" applyFont="1"/>
    <xf numFmtId="0" fontId="77" fillId="0" borderId="1" xfId="0" applyFont="1" applyFill="1" applyBorder="1" applyAlignment="1">
      <alignment horizontal="right" wrapText="1"/>
    </xf>
    <xf numFmtId="0" fontId="5" fillId="0" borderId="0" xfId="0" applyFont="1" applyAlignment="1">
      <alignment horizontal="center" wrapText="1"/>
    </xf>
    <xf numFmtId="0" fontId="5" fillId="0" borderId="0" xfId="0" applyFont="1" applyAlignment="1">
      <alignment horizontal="center"/>
    </xf>
    <xf numFmtId="0" fontId="5" fillId="0" borderId="0" xfId="0" applyFont="1" applyAlignment="1">
      <alignment horizontal="center"/>
    </xf>
    <xf numFmtId="0" fontId="5" fillId="0" borderId="0" xfId="0" applyFont="1" applyBorder="1" applyAlignment="1">
      <alignment horizontal="left" wrapText="1"/>
    </xf>
    <xf numFmtId="0" fontId="5" fillId="0" borderId="0" xfId="0" applyFont="1" applyBorder="1" applyAlignment="1">
      <alignment horizontal="left" wrapText="1"/>
    </xf>
    <xf numFmtId="0" fontId="78" fillId="0" borderId="54" xfId="0" applyFont="1" applyBorder="1" applyAlignment="1">
      <alignment wrapText="1"/>
    </xf>
    <xf numFmtId="0" fontId="84" fillId="0" borderId="54" xfId="0" applyFont="1" applyBorder="1" applyAlignment="1">
      <alignment horizontal="center" wrapText="1"/>
    </xf>
    <xf numFmtId="0" fontId="77" fillId="0" borderId="7" xfId="0" applyFont="1" applyBorder="1" applyAlignment="1">
      <alignment horizontal="right" wrapText="1"/>
    </xf>
    <xf numFmtId="0" fontId="84" fillId="0" borderId="1" xfId="0" applyFont="1" applyBorder="1" applyAlignment="1">
      <alignment horizontal="center" vertical="center" wrapText="1"/>
    </xf>
    <xf numFmtId="0" fontId="74" fillId="0" borderId="1" xfId="0" applyFont="1" applyBorder="1" applyAlignment="1">
      <alignment wrapText="1"/>
    </xf>
    <xf numFmtId="0" fontId="74" fillId="0" borderId="1" xfId="0" applyFont="1" applyFill="1" applyBorder="1" applyAlignment="1">
      <alignment horizontal="right" wrapText="1"/>
    </xf>
    <xf numFmtId="0" fontId="74" fillId="0" borderId="1" xfId="0" applyFont="1" applyBorder="1" applyAlignment="1">
      <alignment horizontal="right" wrapText="1"/>
    </xf>
    <xf numFmtId="0" fontId="78" fillId="0" borderId="1" xfId="0" applyFont="1" applyFill="1" applyBorder="1" applyAlignment="1">
      <alignment wrapText="1"/>
    </xf>
    <xf numFmtId="0" fontId="74" fillId="0" borderId="1" xfId="0" applyFont="1" applyFill="1" applyBorder="1" applyAlignment="1">
      <alignment wrapText="1"/>
    </xf>
    <xf numFmtId="0" fontId="78" fillId="0" borderId="1" xfId="0" applyFont="1" applyBorder="1" applyAlignment="1">
      <alignment wrapText="1"/>
    </xf>
    <xf numFmtId="0" fontId="41" fillId="0" borderId="1" xfId="0" applyFont="1" applyFill="1" applyBorder="1" applyAlignment="1">
      <alignment wrapText="1"/>
    </xf>
    <xf numFmtId="0" fontId="79" fillId="0" borderId="1" xfId="0" applyFont="1" applyBorder="1" applyAlignment="1">
      <alignment vertical="center"/>
    </xf>
    <xf numFmtId="0" fontId="10" fillId="0" borderId="7" xfId="0" applyFont="1" applyFill="1" applyBorder="1" applyAlignment="1">
      <alignment horizontal="right" wrapText="1"/>
    </xf>
    <xf numFmtId="0" fontId="77" fillId="0" borderId="0" xfId="0" applyFont="1" applyFill="1" applyBorder="1"/>
    <xf numFmtId="0" fontId="77" fillId="0" borderId="11" xfId="0" applyFont="1" applyBorder="1" applyAlignment="1">
      <alignment horizontal="right" wrapText="1"/>
    </xf>
    <xf numFmtId="0" fontId="77" fillId="0" borderId="22" xfId="0" applyFont="1" applyBorder="1" applyAlignment="1">
      <alignment wrapText="1"/>
    </xf>
    <xf numFmtId="0" fontId="77" fillId="0" borderId="20" xfId="0" applyFont="1" applyBorder="1"/>
    <xf numFmtId="0" fontId="78" fillId="0" borderId="100" xfId="0" applyFont="1" applyBorder="1"/>
    <xf numFmtId="0" fontId="16" fillId="0" borderId="1" xfId="0" applyFont="1" applyFill="1" applyBorder="1" applyAlignment="1">
      <alignment wrapText="1"/>
    </xf>
    <xf numFmtId="0" fontId="79" fillId="0" borderId="101" xfId="0" applyFont="1" applyBorder="1" applyAlignment="1">
      <alignment horizontal="right" wrapText="1"/>
    </xf>
    <xf numFmtId="0" fontId="77" fillId="0" borderId="9" xfId="0" applyFont="1" applyBorder="1" applyAlignment="1">
      <alignment horizontal="right" wrapText="1"/>
    </xf>
    <xf numFmtId="0" fontId="79" fillId="0" borderId="54" xfId="0" applyFont="1" applyBorder="1" applyAlignment="1">
      <alignment horizontal="center" wrapText="1"/>
    </xf>
    <xf numFmtId="0" fontId="79" fillId="0" borderId="4" xfId="0" applyFont="1" applyBorder="1" applyAlignment="1">
      <alignment horizontal="center" wrapText="1"/>
    </xf>
    <xf numFmtId="0" fontId="12" fillId="0" borderId="3" xfId="0" applyFont="1" applyFill="1" applyBorder="1"/>
    <xf numFmtId="0" fontId="12" fillId="0" borderId="13" xfId="0" applyFont="1" applyFill="1" applyBorder="1"/>
    <xf numFmtId="0" fontId="79" fillId="0" borderId="3" xfId="0" applyFont="1" applyFill="1" applyBorder="1" applyAlignment="1">
      <alignment horizontal="right" wrapText="1"/>
    </xf>
    <xf numFmtId="49" fontId="51" fillId="0" borderId="60" xfId="2" applyNumberFormat="1" applyFont="1" applyFill="1" applyBorder="1" applyAlignment="1">
      <alignment horizontal="center"/>
    </xf>
    <xf numFmtId="49" fontId="51" fillId="3" borderId="60" xfId="2" applyNumberFormat="1" applyFont="1" applyFill="1" applyBorder="1" applyAlignment="1">
      <alignment horizontal="center"/>
    </xf>
    <xf numFmtId="49" fontId="51" fillId="0" borderId="60" xfId="2" applyNumberFormat="1" applyFont="1" applyFill="1" applyBorder="1"/>
    <xf numFmtId="49" fontId="51" fillId="3" borderId="60" xfId="2" applyNumberFormat="1" applyFont="1" applyFill="1" applyBorder="1"/>
    <xf numFmtId="0" fontId="5" fillId="0" borderId="0" xfId="0" applyFont="1" applyFill="1" applyAlignment="1"/>
    <xf numFmtId="0" fontId="6" fillId="0" borderId="125" xfId="0" applyFont="1" applyBorder="1" applyAlignment="1">
      <alignment horizontal="left"/>
    </xf>
    <xf numFmtId="1" fontId="38" fillId="0" borderId="45" xfId="0" applyNumberFormat="1" applyFont="1" applyBorder="1"/>
    <xf numFmtId="1" fontId="38" fillId="0" borderId="2" xfId="0" applyNumberFormat="1" applyFont="1" applyBorder="1"/>
    <xf numFmtId="0" fontId="38" fillId="0" borderId="2" xfId="0" applyFont="1" applyBorder="1"/>
    <xf numFmtId="3" fontId="23" fillId="0" borderId="5" xfId="0" applyNumberFormat="1" applyFont="1" applyFill="1" applyBorder="1"/>
    <xf numFmtId="49" fontId="6" fillId="0" borderId="0" xfId="0" applyNumberFormat="1" applyFont="1" applyAlignment="1"/>
    <xf numFmtId="49" fontId="5" fillId="0" borderId="0" xfId="0" applyNumberFormat="1" applyFont="1" applyAlignment="1"/>
    <xf numFmtId="1" fontId="6" fillId="0" borderId="100" xfId="0" applyNumberFormat="1" applyFont="1" applyFill="1" applyBorder="1"/>
    <xf numFmtId="0" fontId="6" fillId="0" borderId="82" xfId="0" applyFont="1" applyBorder="1"/>
    <xf numFmtId="0" fontId="59" fillId="0" borderId="48" xfId="0" applyFont="1" applyBorder="1"/>
    <xf numFmtId="0" fontId="5" fillId="0" borderId="48" xfId="0" applyFont="1" applyBorder="1"/>
    <xf numFmtId="0" fontId="24" fillId="0" borderId="48" xfId="0" applyFont="1" applyBorder="1"/>
    <xf numFmtId="0" fontId="6" fillId="0" borderId="91" xfId="0" applyFont="1" applyBorder="1"/>
    <xf numFmtId="0" fontId="6" fillId="0" borderId="115" xfId="0" applyFont="1" applyBorder="1"/>
    <xf numFmtId="0" fontId="6" fillId="0" borderId="54" xfId="0" applyFont="1" applyBorder="1"/>
    <xf numFmtId="0" fontId="59" fillId="0" borderId="1" xfId="0" applyFont="1" applyBorder="1"/>
    <xf numFmtId="0" fontId="6" fillId="0" borderId="73" xfId="0" applyFont="1" applyBorder="1"/>
    <xf numFmtId="1" fontId="6" fillId="0" borderId="3" xfId="0" applyNumberFormat="1" applyFont="1" applyFill="1" applyBorder="1"/>
    <xf numFmtId="0" fontId="14" fillId="0" borderId="0" xfId="0" applyFont="1" applyFill="1" applyAlignment="1">
      <alignment horizontal="center" wrapText="1"/>
    </xf>
    <xf numFmtId="0" fontId="10" fillId="0" borderId="70" xfId="2" applyFont="1" applyFill="1" applyBorder="1" applyAlignment="1">
      <alignment horizontal="center" wrapText="1"/>
    </xf>
    <xf numFmtId="0" fontId="6" fillId="0" borderId="55" xfId="2" applyFont="1" applyBorder="1" applyAlignment="1">
      <alignment horizontal="center"/>
    </xf>
    <xf numFmtId="0" fontId="45" fillId="0" borderId="80" xfId="2" applyFont="1" applyBorder="1" applyAlignment="1">
      <alignment horizontal="center" wrapText="1"/>
    </xf>
    <xf numFmtId="0" fontId="10" fillId="0" borderId="80" xfId="2" applyFont="1" applyBorder="1" applyAlignment="1">
      <alignment horizontal="center"/>
    </xf>
    <xf numFmtId="0" fontId="5" fillId="0" borderId="32" xfId="2" applyFont="1" applyFill="1" applyBorder="1" applyAlignment="1">
      <alignment horizontal="right"/>
    </xf>
    <xf numFmtId="0" fontId="5" fillId="0" borderId="36" xfId="2" applyFont="1" applyFill="1" applyBorder="1" applyAlignment="1">
      <alignment wrapText="1"/>
    </xf>
    <xf numFmtId="0" fontId="5" fillId="0" borderId="36" xfId="2" applyFont="1" applyFill="1" applyBorder="1"/>
    <xf numFmtId="0" fontId="85" fillId="0" borderId="0" xfId="0" applyFont="1" applyAlignment="1">
      <alignment horizontal="left"/>
    </xf>
    <xf numFmtId="0" fontId="12" fillId="0" borderId="0" xfId="0" applyFont="1" applyFill="1" applyBorder="1" applyAlignment="1">
      <alignment horizontal="left"/>
    </xf>
    <xf numFmtId="0" fontId="4" fillId="0" borderId="0" xfId="0" applyFont="1" applyAlignment="1">
      <alignment wrapText="1"/>
    </xf>
    <xf numFmtId="0" fontId="77" fillId="0" borderId="14" xfId="0" applyFont="1" applyBorder="1" applyAlignment="1">
      <alignment wrapText="1"/>
    </xf>
    <xf numFmtId="0" fontId="74" fillId="0" borderId="14" xfId="0" applyFont="1" applyBorder="1" applyAlignment="1">
      <alignment wrapText="1"/>
    </xf>
    <xf numFmtId="0" fontId="74" fillId="0" borderId="14" xfId="0" applyFont="1" applyBorder="1" applyAlignment="1">
      <alignment horizontal="right" wrapText="1"/>
    </xf>
    <xf numFmtId="0" fontId="77" fillId="0" borderId="0" xfId="0" applyFont="1" applyFill="1"/>
    <xf numFmtId="0" fontId="79" fillId="0" borderId="72" xfId="0" applyFont="1" applyFill="1" applyBorder="1" applyAlignment="1">
      <alignment horizontal="center" vertical="center" wrapText="1"/>
    </xf>
    <xf numFmtId="0" fontId="84" fillId="0" borderId="5" xfId="0" applyFont="1" applyFill="1" applyBorder="1" applyAlignment="1">
      <alignment horizontal="center" wrapText="1"/>
    </xf>
    <xf numFmtId="0" fontId="84" fillId="0" borderId="21" xfId="0" applyFont="1" applyFill="1" applyBorder="1" applyAlignment="1">
      <alignment horizontal="center" wrapText="1"/>
    </xf>
    <xf numFmtId="0" fontId="62" fillId="0" borderId="0" xfId="0" applyFont="1" applyFill="1"/>
    <xf numFmtId="0" fontId="6" fillId="0" borderId="0" xfId="0" applyFont="1" applyAlignment="1">
      <alignment horizontal="center"/>
    </xf>
    <xf numFmtId="0" fontId="18" fillId="0" borderId="0" xfId="0" applyFont="1" applyFill="1" applyAlignment="1">
      <alignment horizontal="center"/>
    </xf>
    <xf numFmtId="0" fontId="5" fillId="0" borderId="0" xfId="0" applyFont="1" applyBorder="1" applyAlignment="1">
      <alignment horizontal="left" wrapText="1"/>
    </xf>
    <xf numFmtId="0" fontId="6" fillId="0" borderId="101" xfId="2" applyFont="1" applyBorder="1" applyAlignment="1">
      <alignment horizontal="center"/>
    </xf>
    <xf numFmtId="0" fontId="6" fillId="0" borderId="82" xfId="2" applyFont="1" applyBorder="1" applyAlignment="1">
      <alignment horizontal="center"/>
    </xf>
    <xf numFmtId="0" fontId="15" fillId="0" borderId="28" xfId="2" applyFont="1" applyBorder="1" applyAlignment="1">
      <alignment horizontal="center" vertical="center" wrapText="1"/>
    </xf>
    <xf numFmtId="0" fontId="15" fillId="0" borderId="91" xfId="2" applyFont="1" applyBorder="1" applyAlignment="1">
      <alignment horizontal="center" vertical="center" wrapText="1"/>
    </xf>
    <xf numFmtId="0" fontId="15" fillId="0" borderId="38" xfId="2" applyFont="1" applyBorder="1" applyAlignment="1">
      <alignment horizontal="center" vertical="center" wrapText="1"/>
    </xf>
    <xf numFmtId="0" fontId="15" fillId="0" borderId="0" xfId="0" applyFont="1" applyFill="1" applyBorder="1" applyAlignment="1">
      <alignment horizontal="center" wrapText="1"/>
    </xf>
    <xf numFmtId="0" fontId="5" fillId="0" borderId="0" xfId="0" applyFont="1" applyAlignment="1">
      <alignment horizontal="center"/>
    </xf>
    <xf numFmtId="0" fontId="5" fillId="0" borderId="0" xfId="0" applyFont="1" applyAlignment="1">
      <alignment horizontal="left" wrapText="1"/>
    </xf>
    <xf numFmtId="0" fontId="14" fillId="0" borderId="26" xfId="0" applyFont="1" applyBorder="1" applyAlignment="1">
      <alignment horizontal="center" wrapText="1"/>
    </xf>
    <xf numFmtId="0" fontId="22" fillId="0" borderId="26" xfId="0" applyFont="1" applyFill="1" applyBorder="1" applyAlignment="1">
      <alignment horizontal="center" wrapText="1"/>
    </xf>
    <xf numFmtId="0" fontId="4" fillId="0" borderId="0" xfId="0" applyFont="1" applyFill="1" applyAlignment="1">
      <alignment horizontal="center"/>
    </xf>
    <xf numFmtId="0" fontId="4" fillId="0" borderId="26" xfId="0" applyFont="1" applyFill="1" applyBorder="1" applyAlignment="1">
      <alignment horizontal="center"/>
    </xf>
    <xf numFmtId="0" fontId="18" fillId="0" borderId="26" xfId="0" applyFont="1" applyBorder="1" applyAlignment="1">
      <alignment horizontal="center"/>
    </xf>
    <xf numFmtId="0" fontId="5" fillId="0" borderId="0" xfId="0" applyFont="1" applyAlignment="1">
      <alignment horizontal="center" wrapText="1"/>
    </xf>
    <xf numFmtId="0" fontId="14" fillId="0" borderId="0" xfId="0" applyFont="1" applyFill="1" applyAlignment="1">
      <alignment horizontal="center" wrapText="1"/>
    </xf>
    <xf numFmtId="0" fontId="10" fillId="0" borderId="0" xfId="3" applyFont="1" applyAlignment="1">
      <alignment horizontal="left"/>
    </xf>
    <xf numFmtId="0" fontId="12" fillId="0" borderId="0" xfId="3" applyFont="1" applyAlignment="1">
      <alignment horizontal="left" vertical="center" wrapText="1"/>
    </xf>
    <xf numFmtId="0" fontId="13" fillId="0" borderId="0" xfId="3" applyFont="1" applyAlignment="1">
      <alignment horizontal="left"/>
    </xf>
    <xf numFmtId="0" fontId="12" fillId="0" borderId="0" xfId="0" applyFont="1" applyFill="1" applyAlignment="1">
      <alignment horizontal="center" wrapText="1"/>
    </xf>
  </cellXfs>
  <cellStyles count="8">
    <cellStyle name="Comma" xfId="6" builtinId="3"/>
    <cellStyle name="Normal" xfId="0" builtinId="0"/>
    <cellStyle name="Normal 2" xfId="1" xr:uid="{00000000-0005-0000-0000-000001000000}"/>
    <cellStyle name="Normal_PROJEKTI_2016_PLĀNS_Aija un Inese" xfId="2" xr:uid="{00000000-0005-0000-0000-000002000000}"/>
    <cellStyle name="Normal_Sporta klubi 2012_081002" xfId="3" xr:uid="{00000000-0005-0000-0000-000003000000}"/>
    <cellStyle name="Parasts 2" xfId="4" xr:uid="{00000000-0005-0000-0000-000005000000}"/>
    <cellStyle name="Parasts 3" xfId="5" xr:uid="{00000000-0005-0000-0000-000006000000}"/>
    <cellStyle name="Parasts 4"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4"/>
  <sheetViews>
    <sheetView zoomScaleNormal="100" workbookViewId="0">
      <pane xSplit="3" ySplit="9" topLeftCell="D13" activePane="bottomRight" state="frozen"/>
      <selection pane="topRight" activeCell="E1" sqref="E1"/>
      <selection pane="bottomLeft" activeCell="A9" sqref="A9"/>
      <selection pane="bottomRight" activeCell="S15" sqref="S15"/>
    </sheetView>
  </sheetViews>
  <sheetFormatPr defaultColWidth="9.140625" defaultRowHeight="15" x14ac:dyDescent="0.25"/>
  <cols>
    <col min="1" max="1" width="6.85546875" style="1" customWidth="1"/>
    <col min="2" max="2" width="34.7109375" style="1" customWidth="1"/>
    <col min="3" max="3" width="9.7109375" style="1" customWidth="1"/>
    <col min="4" max="4" width="8.42578125" style="1" customWidth="1"/>
    <col min="5" max="5" width="9.5703125" style="1" customWidth="1"/>
    <col min="6" max="6" width="9.42578125" style="1" customWidth="1"/>
    <col min="7" max="7" width="8.85546875" style="1" customWidth="1"/>
    <col min="8" max="8" width="8.5703125" style="1" customWidth="1"/>
    <col min="9" max="9" width="9" style="1" customWidth="1"/>
    <col min="10" max="12" width="9.140625" style="1" customWidth="1"/>
    <col min="13" max="13" width="9.85546875" style="1" bestFit="1" customWidth="1"/>
    <col min="14" max="17" width="9.140625" style="1"/>
    <col min="18" max="18" width="10.85546875" style="1" customWidth="1"/>
    <col min="19" max="19" width="11" style="1" customWidth="1"/>
    <col min="20" max="16384" width="9.140625" style="1"/>
  </cols>
  <sheetData>
    <row r="1" spans="1:19" x14ac:dyDescent="0.25">
      <c r="O1" s="2" t="s">
        <v>361</v>
      </c>
    </row>
    <row r="2" spans="1:19" x14ac:dyDescent="0.25">
      <c r="B2" s="2" t="s">
        <v>0</v>
      </c>
    </row>
    <row r="4" spans="1:19" x14ac:dyDescent="0.25">
      <c r="A4" s="173" t="s">
        <v>105</v>
      </c>
      <c r="B4" s="173"/>
      <c r="C4" s="173"/>
      <c r="I4" s="6"/>
      <c r="J4" s="6"/>
      <c r="K4" s="6"/>
      <c r="L4" s="6"/>
    </row>
    <row r="5" spans="1:19" x14ac:dyDescent="0.25">
      <c r="B5" s="3" t="s">
        <v>381</v>
      </c>
    </row>
    <row r="6" spans="1:19" x14ac:dyDescent="0.25">
      <c r="A6" s="3" t="s">
        <v>100</v>
      </c>
      <c r="R6" s="6"/>
      <c r="S6" s="6"/>
    </row>
    <row r="7" spans="1:19" x14ac:dyDescent="0.25">
      <c r="A7" s="3"/>
      <c r="D7" s="55" t="s">
        <v>83</v>
      </c>
      <c r="E7" s="55" t="s">
        <v>84</v>
      </c>
      <c r="F7" s="55" t="s">
        <v>85</v>
      </c>
      <c r="G7" s="55" t="s">
        <v>86</v>
      </c>
      <c r="H7" s="55" t="s">
        <v>87</v>
      </c>
      <c r="I7" s="55" t="s">
        <v>88</v>
      </c>
      <c r="J7" s="55" t="s">
        <v>89</v>
      </c>
      <c r="K7" s="55" t="s">
        <v>524</v>
      </c>
      <c r="L7" s="55" t="s">
        <v>525</v>
      </c>
      <c r="M7" s="55" t="s">
        <v>526</v>
      </c>
      <c r="N7" s="55" t="s">
        <v>527</v>
      </c>
      <c r="O7" s="55" t="s">
        <v>528</v>
      </c>
      <c r="R7" s="6"/>
      <c r="S7" s="6"/>
    </row>
    <row r="8" spans="1:19" ht="15.75" thickBot="1" x14ac:dyDescent="0.3">
      <c r="A8" s="4"/>
      <c r="B8" s="4"/>
      <c r="D8" s="6" t="s">
        <v>1</v>
      </c>
      <c r="E8" s="1" t="s">
        <v>2</v>
      </c>
      <c r="F8" s="1" t="s">
        <v>3</v>
      </c>
      <c r="G8" s="1" t="s">
        <v>4</v>
      </c>
      <c r="H8" s="6" t="s">
        <v>5</v>
      </c>
      <c r="I8" s="1" t="s">
        <v>6</v>
      </c>
      <c r="J8" s="56" t="s">
        <v>68</v>
      </c>
      <c r="K8" s="1" t="s">
        <v>408</v>
      </c>
      <c r="L8" s="1" t="s">
        <v>409</v>
      </c>
      <c r="M8" s="56" t="s">
        <v>400</v>
      </c>
      <c r="N8" s="6" t="s">
        <v>406</v>
      </c>
      <c r="O8" s="1" t="s">
        <v>407</v>
      </c>
      <c r="R8" s="105"/>
      <c r="S8" s="105"/>
    </row>
    <row r="9" spans="1:19" ht="33.75" customHeight="1" thickBot="1" x14ac:dyDescent="0.35">
      <c r="A9" s="57" t="s">
        <v>7</v>
      </c>
      <c r="B9" s="58" t="s">
        <v>10</v>
      </c>
      <c r="C9" s="59" t="s">
        <v>32</v>
      </c>
      <c r="D9" s="60" t="s">
        <v>382</v>
      </c>
      <c r="E9" s="60" t="s">
        <v>382</v>
      </c>
      <c r="F9" s="60" t="s">
        <v>382</v>
      </c>
      <c r="G9" s="60" t="s">
        <v>382</v>
      </c>
      <c r="H9" s="60" t="s">
        <v>382</v>
      </c>
      <c r="I9" s="60" t="s">
        <v>382</v>
      </c>
      <c r="J9" s="60" t="s">
        <v>382</v>
      </c>
      <c r="K9" s="60" t="s">
        <v>382</v>
      </c>
      <c r="L9" s="60" t="s">
        <v>382</v>
      </c>
      <c r="M9" s="60" t="s">
        <v>382</v>
      </c>
      <c r="N9" s="60" t="s">
        <v>382</v>
      </c>
      <c r="O9" s="60" t="s">
        <v>382</v>
      </c>
    </row>
    <row r="10" spans="1:19" x14ac:dyDescent="0.25">
      <c r="A10" s="61">
        <v>1100</v>
      </c>
      <c r="B10" s="62" t="s">
        <v>11</v>
      </c>
      <c r="C10" s="63">
        <f>SUM(D10:O10)</f>
        <v>5061377</v>
      </c>
      <c r="D10" s="901">
        <v>537794</v>
      </c>
      <c r="E10" s="345">
        <v>392886</v>
      </c>
      <c r="F10" s="345">
        <v>395673</v>
      </c>
      <c r="G10" s="803">
        <v>462661</v>
      </c>
      <c r="H10" s="345">
        <v>229088</v>
      </c>
      <c r="I10" s="345">
        <v>511702</v>
      </c>
      <c r="J10" s="804">
        <v>263682</v>
      </c>
      <c r="K10" s="804">
        <f>682981+6000</f>
        <v>688981</v>
      </c>
      <c r="L10" s="804">
        <f>386981+6000</f>
        <v>392981</v>
      </c>
      <c r="M10" s="804">
        <v>429216</v>
      </c>
      <c r="N10" s="804">
        <v>161679</v>
      </c>
      <c r="O10" s="804">
        <v>595034</v>
      </c>
    </row>
    <row r="11" spans="1:19" ht="60" x14ac:dyDescent="0.25">
      <c r="A11" s="66">
        <v>1200</v>
      </c>
      <c r="B11" s="67" t="s">
        <v>12</v>
      </c>
      <c r="C11" s="68">
        <f>SUM(D11:O11)</f>
        <v>1583409</v>
      </c>
      <c r="D11" s="221">
        <v>173327</v>
      </c>
      <c r="E11" s="70">
        <v>128618</v>
      </c>
      <c r="F11" s="70">
        <v>118082</v>
      </c>
      <c r="G11" s="70">
        <v>151730</v>
      </c>
      <c r="H11" s="70">
        <v>72865</v>
      </c>
      <c r="I11" s="70">
        <v>159029</v>
      </c>
      <c r="J11" s="191">
        <v>87741</v>
      </c>
      <c r="K11" s="191">
        <f>207490+1415</f>
        <v>208905</v>
      </c>
      <c r="L11" s="191">
        <f>120611+1415</f>
        <v>122026</v>
      </c>
      <c r="M11" s="191">
        <v>129645</v>
      </c>
      <c r="N11" s="191">
        <v>48757</v>
      </c>
      <c r="O11" s="191">
        <v>182684</v>
      </c>
    </row>
    <row r="12" spans="1:19" x14ac:dyDescent="0.25">
      <c r="A12" s="66">
        <v>2000</v>
      </c>
      <c r="B12" s="73" t="s">
        <v>13</v>
      </c>
      <c r="C12" s="68">
        <f>SUM(C13:C17)</f>
        <v>1113585</v>
      </c>
      <c r="D12" s="70">
        <f t="shared" ref="D12:L12" si="0">SUM(D13:D17)</f>
        <v>119325</v>
      </c>
      <c r="E12" s="70">
        <f t="shared" si="0"/>
        <v>89382</v>
      </c>
      <c r="F12" s="70">
        <f t="shared" si="0"/>
        <v>73301</v>
      </c>
      <c r="G12" s="70">
        <f t="shared" si="0"/>
        <v>96947</v>
      </c>
      <c r="H12" s="70">
        <f>SUM(H13:H17)</f>
        <v>62720</v>
      </c>
      <c r="I12" s="70">
        <f t="shared" si="0"/>
        <v>93254</v>
      </c>
      <c r="J12" s="71">
        <f t="shared" si="0"/>
        <v>63107</v>
      </c>
      <c r="K12" s="71">
        <f t="shared" si="0"/>
        <v>128447</v>
      </c>
      <c r="L12" s="71">
        <f t="shared" si="0"/>
        <v>103224</v>
      </c>
      <c r="M12" s="71">
        <f t="shared" ref="M12:N12" si="1">SUM(M13:M17)</f>
        <v>104588</v>
      </c>
      <c r="N12" s="71">
        <f t="shared" si="1"/>
        <v>46557</v>
      </c>
      <c r="O12" s="71">
        <f t="shared" ref="O12" si="2">SUM(O13:O17)</f>
        <v>132733</v>
      </c>
    </row>
    <row r="13" spans="1:19" x14ac:dyDescent="0.25">
      <c r="A13" s="66">
        <v>2100</v>
      </c>
      <c r="B13" s="73" t="s">
        <v>14</v>
      </c>
      <c r="C13" s="68">
        <f>SUM(D13:O13)</f>
        <v>200</v>
      </c>
      <c r="D13" s="79"/>
      <c r="E13" s="79"/>
      <c r="F13" s="79"/>
      <c r="G13" s="70"/>
      <c r="H13" s="79"/>
      <c r="I13" s="79"/>
      <c r="J13" s="80"/>
      <c r="K13" s="80">
        <v>200</v>
      </c>
      <c r="L13" s="80"/>
      <c r="M13" s="80"/>
      <c r="N13" s="80"/>
      <c r="O13" s="80"/>
    </row>
    <row r="14" spans="1:19" x14ac:dyDescent="0.25">
      <c r="A14" s="66">
        <v>2200</v>
      </c>
      <c r="B14" s="73" t="s">
        <v>15</v>
      </c>
      <c r="C14" s="68">
        <f t="shared" ref="C14:C20" si="3">SUM(D14:O14)</f>
        <v>797977</v>
      </c>
      <c r="D14" s="79">
        <v>89800</v>
      </c>
      <c r="E14" s="79">
        <v>66395</v>
      </c>
      <c r="F14" s="79">
        <v>59480</v>
      </c>
      <c r="G14" s="70">
        <v>80602</v>
      </c>
      <c r="H14" s="79">
        <v>46699</v>
      </c>
      <c r="I14" s="79">
        <v>77349</v>
      </c>
      <c r="J14" s="80">
        <v>53808</v>
      </c>
      <c r="K14" s="80">
        <v>99668</v>
      </c>
      <c r="L14" s="80">
        <v>54345</v>
      </c>
      <c r="M14" s="80">
        <v>71849</v>
      </c>
      <c r="N14" s="80">
        <v>26887</v>
      </c>
      <c r="O14" s="80">
        <v>71095</v>
      </c>
    </row>
    <row r="15" spans="1:19" ht="45" x14ac:dyDescent="0.25">
      <c r="A15" s="66">
        <v>2300</v>
      </c>
      <c r="B15" s="67" t="s">
        <v>16</v>
      </c>
      <c r="C15" s="68">
        <f t="shared" si="3"/>
        <v>315408</v>
      </c>
      <c r="D15" s="79">
        <f>26900+2625</f>
        <v>29525</v>
      </c>
      <c r="E15" s="79">
        <f>21594+1393</f>
        <v>22987</v>
      </c>
      <c r="F15" s="79">
        <f>12000+1821</f>
        <v>13821</v>
      </c>
      <c r="G15" s="70">
        <f>14042+2303</f>
        <v>16345</v>
      </c>
      <c r="H15" s="79">
        <f>15182+839</f>
        <v>16021</v>
      </c>
      <c r="I15" s="79">
        <f>13387+2518</f>
        <v>15905</v>
      </c>
      <c r="J15" s="80">
        <f>8120+1179</f>
        <v>9299</v>
      </c>
      <c r="K15" s="80">
        <f>26026+2553</f>
        <v>28579</v>
      </c>
      <c r="L15" s="80">
        <f>46915+1964</f>
        <v>48879</v>
      </c>
      <c r="M15" s="80">
        <f>94168-63000+1571</f>
        <v>32739</v>
      </c>
      <c r="N15" s="80">
        <f>34170-15000+500</f>
        <v>19670</v>
      </c>
      <c r="O15" s="80">
        <f>59460+2178</f>
        <v>61638</v>
      </c>
      <c r="Q15" s="1" t="s">
        <v>246</v>
      </c>
    </row>
    <row r="16" spans="1:19" x14ac:dyDescent="0.25">
      <c r="A16" s="66">
        <v>2400</v>
      </c>
      <c r="B16" s="77" t="s">
        <v>56</v>
      </c>
      <c r="C16" s="68">
        <f t="shared" si="3"/>
        <v>0</v>
      </c>
      <c r="D16" s="79"/>
      <c r="E16" s="79"/>
      <c r="F16" s="79"/>
      <c r="G16" s="70"/>
      <c r="H16" s="79"/>
      <c r="I16" s="79"/>
      <c r="J16" s="80" t="s">
        <v>246</v>
      </c>
      <c r="K16" s="80" t="s">
        <v>246</v>
      </c>
      <c r="L16" s="80" t="s">
        <v>246</v>
      </c>
      <c r="M16" s="80"/>
      <c r="N16" s="80" t="s">
        <v>246</v>
      </c>
      <c r="O16" s="80" t="s">
        <v>246</v>
      </c>
    </row>
    <row r="17" spans="1:17" x14ac:dyDescent="0.25">
      <c r="A17" s="66">
        <v>2500</v>
      </c>
      <c r="B17" s="73" t="s">
        <v>17</v>
      </c>
      <c r="C17" s="68">
        <f t="shared" si="3"/>
        <v>0</v>
      </c>
      <c r="D17" s="79"/>
      <c r="E17" s="79"/>
      <c r="F17" s="79"/>
      <c r="G17" s="70"/>
      <c r="H17" s="79"/>
      <c r="I17" s="79"/>
      <c r="J17" s="80"/>
      <c r="K17" s="80"/>
      <c r="L17" s="80"/>
      <c r="M17" s="80"/>
      <c r="N17" s="80"/>
      <c r="O17" s="895"/>
    </row>
    <row r="18" spans="1:17" hidden="1" x14ac:dyDescent="0.25">
      <c r="A18" s="66">
        <v>4200</v>
      </c>
      <c r="B18" s="73" t="s">
        <v>19</v>
      </c>
      <c r="C18" s="68">
        <f t="shared" si="3"/>
        <v>0</v>
      </c>
      <c r="D18" s="79"/>
      <c r="E18" s="79"/>
      <c r="F18" s="79"/>
      <c r="G18" s="70"/>
      <c r="H18" s="79"/>
      <c r="I18" s="79"/>
      <c r="J18" s="80"/>
      <c r="K18" s="80"/>
      <c r="L18" s="80"/>
      <c r="M18" s="80"/>
      <c r="N18" s="80"/>
      <c r="O18" s="80"/>
    </row>
    <row r="19" spans="1:17" hidden="1" x14ac:dyDescent="0.25">
      <c r="A19" s="66">
        <v>4300</v>
      </c>
      <c r="B19" s="73" t="s">
        <v>20</v>
      </c>
      <c r="C19" s="68">
        <f t="shared" si="3"/>
        <v>0</v>
      </c>
      <c r="D19" s="79"/>
      <c r="E19" s="79"/>
      <c r="F19" s="79"/>
      <c r="G19" s="70"/>
      <c r="H19" s="79"/>
      <c r="I19" s="79"/>
      <c r="J19" s="80"/>
      <c r="K19" s="80"/>
      <c r="L19" s="80"/>
      <c r="M19" s="80"/>
      <c r="N19" s="80"/>
      <c r="O19" s="80"/>
    </row>
    <row r="20" spans="1:17" x14ac:dyDescent="0.25">
      <c r="A20" s="66">
        <v>5100</v>
      </c>
      <c r="B20" s="73" t="s">
        <v>22</v>
      </c>
      <c r="C20" s="68">
        <f t="shared" si="3"/>
        <v>710</v>
      </c>
      <c r="D20" s="79"/>
      <c r="E20" s="79"/>
      <c r="F20" s="79"/>
      <c r="G20" s="70"/>
      <c r="H20" s="79"/>
      <c r="I20" s="79"/>
      <c r="J20" s="80"/>
      <c r="K20" s="80"/>
      <c r="L20" s="80"/>
      <c r="M20" s="80">
        <v>540</v>
      </c>
      <c r="N20" s="80">
        <v>170</v>
      </c>
      <c r="O20" s="80"/>
    </row>
    <row r="21" spans="1:17" x14ac:dyDescent="0.25">
      <c r="A21" s="66">
        <v>5200</v>
      </c>
      <c r="B21" s="73" t="s">
        <v>23</v>
      </c>
      <c r="C21" s="76">
        <f>SUM(D21:O21)</f>
        <v>112318</v>
      </c>
      <c r="D21" s="79">
        <v>4900</v>
      </c>
      <c r="E21" s="79">
        <v>3700</v>
      </c>
      <c r="F21" s="79">
        <v>10300</v>
      </c>
      <c r="G21" s="70">
        <f>3626+17639</f>
        <v>21265</v>
      </c>
      <c r="H21" s="79">
        <v>2400</v>
      </c>
      <c r="I21" s="79">
        <v>3200</v>
      </c>
      <c r="J21" s="80">
        <v>3300</v>
      </c>
      <c r="K21" s="80">
        <v>44300</v>
      </c>
      <c r="L21" s="80">
        <v>1200</v>
      </c>
      <c r="M21" s="80">
        <v>15053</v>
      </c>
      <c r="N21" s="80">
        <v>700</v>
      </c>
      <c r="O21" s="80">
        <v>2000</v>
      </c>
    </row>
    <row r="22" spans="1:17" s="3" customFormat="1" x14ac:dyDescent="0.25">
      <c r="A22" s="66">
        <v>6000</v>
      </c>
      <c r="B22" s="67" t="s">
        <v>53</v>
      </c>
      <c r="C22" s="76">
        <f t="shared" ref="C22:C26" si="4">SUM(D22:O22)</f>
        <v>0</v>
      </c>
      <c r="D22" s="81">
        <f>SUM(D23:D25)</f>
        <v>0</v>
      </c>
      <c r="E22" s="81">
        <f t="shared" ref="E22:L22" si="5">SUM(E23:E25)</f>
        <v>0</v>
      </c>
      <c r="F22" s="81">
        <f t="shared" si="5"/>
        <v>0</v>
      </c>
      <c r="G22" s="81">
        <f t="shared" si="5"/>
        <v>0</v>
      </c>
      <c r="H22" s="81">
        <f t="shared" si="5"/>
        <v>0</v>
      </c>
      <c r="I22" s="81">
        <f t="shared" si="5"/>
        <v>0</v>
      </c>
      <c r="J22" s="82">
        <f t="shared" si="5"/>
        <v>0</v>
      </c>
      <c r="K22" s="82">
        <f t="shared" si="5"/>
        <v>0</v>
      </c>
      <c r="L22" s="82">
        <f t="shared" si="5"/>
        <v>0</v>
      </c>
      <c r="M22" s="82">
        <f t="shared" ref="M22:N22" si="6">SUM(M23:M25)</f>
        <v>0</v>
      </c>
      <c r="N22" s="82">
        <f t="shared" si="6"/>
        <v>0</v>
      </c>
      <c r="O22" s="82">
        <f t="shared" ref="O22" si="7">SUM(O23:O25)</f>
        <v>0</v>
      </c>
      <c r="P22" s="1"/>
      <c r="Q22" s="1"/>
    </row>
    <row r="23" spans="1:17" hidden="1" x14ac:dyDescent="0.25">
      <c r="A23" s="66">
        <v>6200</v>
      </c>
      <c r="B23" s="73" t="s">
        <v>24</v>
      </c>
      <c r="C23" s="76">
        <f t="shared" si="4"/>
        <v>0</v>
      </c>
      <c r="D23" s="74"/>
      <c r="E23" s="74"/>
      <c r="F23" s="74"/>
      <c r="G23" s="74"/>
      <c r="H23" s="74"/>
      <c r="I23" s="74"/>
      <c r="J23" s="75"/>
      <c r="K23" s="75"/>
      <c r="L23" s="75"/>
      <c r="M23" s="75"/>
      <c r="N23" s="75"/>
      <c r="O23" s="75"/>
    </row>
    <row r="24" spans="1:17" hidden="1" x14ac:dyDescent="0.25">
      <c r="A24" s="66">
        <v>6300</v>
      </c>
      <c r="B24" s="67" t="s">
        <v>54</v>
      </c>
      <c r="C24" s="76">
        <f t="shared" si="4"/>
        <v>0</v>
      </c>
      <c r="D24" s="84"/>
      <c r="E24" s="84"/>
      <c r="F24" s="84"/>
      <c r="G24" s="84"/>
      <c r="H24" s="84"/>
      <c r="I24" s="84"/>
      <c r="J24" s="85"/>
      <c r="K24" s="85"/>
      <c r="L24" s="85"/>
      <c r="M24" s="85"/>
      <c r="N24" s="85"/>
      <c r="O24" s="85"/>
    </row>
    <row r="25" spans="1:17" ht="30" hidden="1" x14ac:dyDescent="0.25">
      <c r="A25" s="66">
        <v>6400</v>
      </c>
      <c r="B25" s="86" t="s">
        <v>70</v>
      </c>
      <c r="C25" s="76">
        <f>SUM(D25:O25)</f>
        <v>0</v>
      </c>
      <c r="D25" s="88"/>
      <c r="E25" s="88"/>
      <c r="F25" s="88"/>
      <c r="G25" s="88"/>
      <c r="H25" s="88"/>
      <c r="I25" s="88"/>
      <c r="J25" s="89"/>
      <c r="K25" s="89"/>
      <c r="L25" s="89"/>
      <c r="M25" s="89"/>
      <c r="N25" s="89"/>
      <c r="O25" s="89"/>
    </row>
    <row r="26" spans="1:17" ht="15.75" thickBot="1" x14ac:dyDescent="0.3">
      <c r="A26" s="90">
        <v>7200</v>
      </c>
      <c r="B26" s="91" t="s">
        <v>25</v>
      </c>
      <c r="C26" s="76">
        <f t="shared" si="4"/>
        <v>0</v>
      </c>
      <c r="D26" s="93"/>
      <c r="E26" s="93"/>
      <c r="F26" s="93"/>
      <c r="G26" s="94"/>
      <c r="H26" s="93"/>
      <c r="I26" s="93"/>
      <c r="J26" s="95"/>
      <c r="K26" s="95"/>
      <c r="L26" s="95"/>
      <c r="M26" s="95"/>
      <c r="N26" s="95"/>
      <c r="O26" s="95"/>
    </row>
    <row r="27" spans="1:17" ht="15.75" thickBot="1" x14ac:dyDescent="0.3">
      <c r="A27" s="57"/>
      <c r="B27" s="96" t="s">
        <v>26</v>
      </c>
      <c r="C27" s="97">
        <f>C10+C11+C12+C18+C19+C20+C21+C22+C26</f>
        <v>7871399</v>
      </c>
      <c r="D27" s="203">
        <f>D10+D11+D12+D18+D19+D20+D21+D22+D26</f>
        <v>835346</v>
      </c>
      <c r="E27" s="97">
        <f t="shared" ref="E27:L27" si="8">E10+E11+E12+E18+E19+E20+E21+E22+E26</f>
        <v>614586</v>
      </c>
      <c r="F27" s="97">
        <f t="shared" si="8"/>
        <v>597356</v>
      </c>
      <c r="G27" s="97">
        <f>G10+G11+G12+G18+G19+G20+G21+G22+G26</f>
        <v>732603</v>
      </c>
      <c r="H27" s="97">
        <f>H10+H11+H12+H18+H19+H20+H21+H22+H26</f>
        <v>367073</v>
      </c>
      <c r="I27" s="97">
        <f t="shared" si="8"/>
        <v>767185</v>
      </c>
      <c r="J27" s="97">
        <f t="shared" si="8"/>
        <v>417830</v>
      </c>
      <c r="K27" s="97">
        <f t="shared" si="8"/>
        <v>1070633</v>
      </c>
      <c r="L27" s="97">
        <f t="shared" si="8"/>
        <v>619431</v>
      </c>
      <c r="M27" s="97">
        <f t="shared" ref="M27:N27" si="9">M10+M11+M12+M18+M19+M20+M21+M22+M26</f>
        <v>679042</v>
      </c>
      <c r="N27" s="97">
        <f t="shared" si="9"/>
        <v>257863</v>
      </c>
      <c r="O27" s="97">
        <f t="shared" ref="O27" si="10">O10+O11+O12+O18+O19+O20+O21+O22+O26</f>
        <v>912451</v>
      </c>
    </row>
    <row r="28" spans="1:17" x14ac:dyDescent="0.25">
      <c r="A28" s="4"/>
      <c r="B28" s="98" t="s">
        <v>57</v>
      </c>
      <c r="C28" s="7">
        <f>SUM(D28:O28)</f>
        <v>911247</v>
      </c>
      <c r="D28" s="7">
        <v>106628</v>
      </c>
      <c r="E28" s="101">
        <v>56578</v>
      </c>
      <c r="F28" s="329">
        <v>91736</v>
      </c>
      <c r="G28" s="101">
        <v>93571</v>
      </c>
      <c r="H28" s="101">
        <v>38280</v>
      </c>
      <c r="I28" s="101">
        <v>102272</v>
      </c>
      <c r="J28" s="3">
        <v>47874</v>
      </c>
      <c r="K28" s="3">
        <v>102458</v>
      </c>
      <c r="L28" s="3">
        <v>75691</v>
      </c>
      <c r="M28" s="3">
        <v>73217</v>
      </c>
      <c r="N28" s="3">
        <v>22805</v>
      </c>
      <c r="O28" s="3">
        <v>100137</v>
      </c>
    </row>
    <row r="29" spans="1:17" x14ac:dyDescent="0.25">
      <c r="A29" s="4"/>
      <c r="B29" s="98" t="s">
        <v>374</v>
      </c>
      <c r="C29" s="7">
        <f t="shared" ref="C29:C31" si="11">SUM(D29:O29)</f>
        <v>0</v>
      </c>
      <c r="D29" s="7"/>
      <c r="E29" s="101"/>
      <c r="F29" s="329"/>
      <c r="G29" s="101"/>
      <c r="H29" s="101"/>
      <c r="I29" s="101"/>
      <c r="J29" s="3"/>
      <c r="K29" s="3"/>
      <c r="L29" s="3"/>
    </row>
    <row r="30" spans="1:17" x14ac:dyDescent="0.25">
      <c r="A30" s="4"/>
      <c r="B30" s="98" t="s">
        <v>213</v>
      </c>
      <c r="C30" s="7">
        <f t="shared" si="11"/>
        <v>0</v>
      </c>
      <c r="D30" s="7"/>
      <c r="E30" s="101"/>
      <c r="F30" s="329"/>
      <c r="G30" s="101"/>
      <c r="H30" s="101"/>
      <c r="I30" s="101"/>
      <c r="J30" s="3"/>
      <c r="K30" s="3"/>
      <c r="L30" s="3"/>
      <c r="M30" s="8"/>
      <c r="N30" s="8"/>
    </row>
    <row r="31" spans="1:17" x14ac:dyDescent="0.25">
      <c r="A31" s="4"/>
      <c r="B31" s="98" t="s">
        <v>58</v>
      </c>
      <c r="C31" s="7">
        <f t="shared" si="11"/>
        <v>0</v>
      </c>
      <c r="D31" s="7"/>
      <c r="E31" s="101"/>
      <c r="F31" s="329"/>
      <c r="G31" s="101"/>
      <c r="H31" s="101"/>
      <c r="I31" s="101"/>
      <c r="J31" s="3"/>
      <c r="K31" s="3"/>
      <c r="L31" s="3"/>
    </row>
    <row r="32" spans="1:17" x14ac:dyDescent="0.25">
      <c r="A32" s="4"/>
      <c r="B32" s="98" t="s">
        <v>47</v>
      </c>
      <c r="C32" s="101">
        <f>SUM(C27:C31)</f>
        <v>8782646</v>
      </c>
      <c r="D32" s="101">
        <f>D27+D28+D29+D30+D31</f>
        <v>941974</v>
      </c>
      <c r="E32" s="101">
        <f t="shared" ref="E32:O32" si="12">E27+E28+E29+E30+E31</f>
        <v>671164</v>
      </c>
      <c r="F32" s="101">
        <f t="shared" si="12"/>
        <v>689092</v>
      </c>
      <c r="G32" s="101">
        <f t="shared" si="12"/>
        <v>826174</v>
      </c>
      <c r="H32" s="101">
        <f t="shared" si="12"/>
        <v>405353</v>
      </c>
      <c r="I32" s="101">
        <f t="shared" si="12"/>
        <v>869457</v>
      </c>
      <c r="J32" s="101">
        <f t="shared" si="12"/>
        <v>465704</v>
      </c>
      <c r="K32" s="101">
        <f t="shared" si="12"/>
        <v>1173091</v>
      </c>
      <c r="L32" s="101">
        <f t="shared" si="12"/>
        <v>695122</v>
      </c>
      <c r="M32" s="101">
        <f t="shared" si="12"/>
        <v>752259</v>
      </c>
      <c r="N32" s="101">
        <f t="shared" si="12"/>
        <v>280668</v>
      </c>
      <c r="O32" s="101">
        <f t="shared" si="12"/>
        <v>1012588</v>
      </c>
    </row>
    <row r="33" spans="1:15" x14ac:dyDescent="0.25">
      <c r="A33" s="4"/>
      <c r="B33" s="98"/>
      <c r="C33" s="101"/>
      <c r="D33" s="101"/>
      <c r="E33" s="101"/>
      <c r="F33" s="101"/>
      <c r="G33" s="101"/>
      <c r="H33" s="101"/>
      <c r="I33" s="101"/>
      <c r="J33" s="101"/>
      <c r="K33" s="101"/>
      <c r="L33" s="101"/>
      <c r="M33" s="8"/>
      <c r="N33" s="8"/>
      <c r="O33" s="8"/>
    </row>
    <row r="34" spans="1:15" x14ac:dyDescent="0.25">
      <c r="A34" s="4"/>
      <c r="B34" s="98"/>
      <c r="C34" s="101"/>
      <c r="D34" s="101"/>
      <c r="E34" s="101"/>
      <c r="F34" s="101"/>
      <c r="G34" s="101"/>
      <c r="H34" s="101"/>
      <c r="I34" s="101"/>
      <c r="J34" s="101"/>
      <c r="K34" s="101"/>
      <c r="L34" s="101"/>
    </row>
    <row r="35" spans="1:15" x14ac:dyDescent="0.25">
      <c r="B35" s="8" t="s">
        <v>123</v>
      </c>
      <c r="C35" s="8"/>
      <c r="D35" s="1" t="s">
        <v>38</v>
      </c>
    </row>
    <row r="38" spans="1:15" x14ac:dyDescent="0.25">
      <c r="B38" s="2"/>
      <c r="D38" s="217"/>
      <c r="E38" s="217"/>
      <c r="F38" s="217"/>
      <c r="G38" s="217"/>
      <c r="H38" s="217"/>
      <c r="I38" s="217"/>
      <c r="J38" s="217"/>
      <c r="K38" s="217"/>
      <c r="L38" s="217"/>
    </row>
    <row r="39" spans="1:15" x14ac:dyDescent="0.25">
      <c r="B39" s="680"/>
    </row>
    <row r="41" spans="1:15" x14ac:dyDescent="0.25">
      <c r="B41" s="2"/>
    </row>
    <row r="44" spans="1:15" x14ac:dyDescent="0.25">
      <c r="B44" s="2"/>
    </row>
  </sheetData>
  <phoneticPr fontId="0" type="noConversion"/>
  <pageMargins left="0.15748031496062992" right="0" top="0.39370078740157483" bottom="0.59055118110236227" header="0.31496062992125984" footer="0.51181102362204722"/>
  <pageSetup paperSize="9" scale="9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3"/>
  <sheetViews>
    <sheetView workbookViewId="0">
      <selection activeCell="M26" sqref="M26"/>
    </sheetView>
  </sheetViews>
  <sheetFormatPr defaultRowHeight="12.75" x14ac:dyDescent="0.2"/>
  <cols>
    <col min="2" max="2" width="7" hidden="1" customWidth="1"/>
    <col min="3" max="3" width="34.85546875" customWidth="1"/>
    <col min="4" max="4" width="13" customWidth="1"/>
    <col min="5" max="5" width="12.28515625" customWidth="1"/>
    <col min="6" max="6" width="9.28515625" customWidth="1"/>
    <col min="7" max="7" width="14.28515625" customWidth="1"/>
    <col min="8" max="8" width="15.7109375" customWidth="1"/>
    <col min="9" max="9" width="11" customWidth="1"/>
    <col min="10" max="10" width="20" customWidth="1"/>
    <col min="11" max="11" width="10.28515625" customWidth="1"/>
    <col min="12" max="12" width="14" customWidth="1"/>
    <col min="13" max="13" width="12.28515625" customWidth="1"/>
    <col min="14" max="14" width="14.5703125" customWidth="1"/>
    <col min="15" max="15" width="14.42578125" customWidth="1"/>
  </cols>
  <sheetData>
    <row r="1" spans="1:16" ht="14.25" x14ac:dyDescent="0.2">
      <c r="A1" s="456" t="s">
        <v>238</v>
      </c>
      <c r="B1" s="456"/>
      <c r="C1" s="456"/>
      <c r="D1" s="456"/>
      <c r="E1" s="620"/>
      <c r="F1" s="456"/>
      <c r="G1" s="457"/>
      <c r="H1" s="458"/>
      <c r="I1" s="458"/>
      <c r="J1" s="458"/>
      <c r="K1" s="457"/>
      <c r="L1" s="458"/>
      <c r="M1" s="459" t="s">
        <v>361</v>
      </c>
      <c r="N1" s="459"/>
      <c r="O1" s="459"/>
    </row>
    <row r="2" spans="1:16" ht="15.75" thickBot="1" x14ac:dyDescent="0.3">
      <c r="A2" s="456" t="s">
        <v>381</v>
      </c>
      <c r="B2" s="456"/>
      <c r="C2" s="312"/>
      <c r="D2" s="312"/>
      <c r="E2" s="292"/>
      <c r="F2" s="292"/>
      <c r="G2" s="459"/>
      <c r="H2" s="459"/>
      <c r="I2" s="459"/>
      <c r="J2" s="459"/>
      <c r="K2" s="459"/>
      <c r="L2" s="459"/>
      <c r="M2" s="459"/>
      <c r="N2" s="459"/>
      <c r="O2" s="459"/>
    </row>
    <row r="3" spans="1:16" ht="15.75" x14ac:dyDescent="0.25">
      <c r="A3" s="460"/>
      <c r="B3" s="543"/>
      <c r="C3" s="1057" t="s">
        <v>159</v>
      </c>
      <c r="D3" s="662"/>
      <c r="E3" s="296" t="s">
        <v>550</v>
      </c>
      <c r="F3" s="296" t="s">
        <v>551</v>
      </c>
      <c r="G3" s="296" t="s">
        <v>579</v>
      </c>
      <c r="H3" s="293" t="s">
        <v>360</v>
      </c>
      <c r="I3" s="306" t="s">
        <v>184</v>
      </c>
      <c r="J3" s="306" t="s">
        <v>430</v>
      </c>
      <c r="K3" s="294" t="s">
        <v>244</v>
      </c>
      <c r="L3" s="461" t="s">
        <v>552</v>
      </c>
      <c r="M3" s="294" t="s">
        <v>157</v>
      </c>
      <c r="N3" s="294" t="s">
        <v>431</v>
      </c>
      <c r="O3" s="294" t="s">
        <v>245</v>
      </c>
    </row>
    <row r="4" spans="1:16" ht="120.75" thickBot="1" x14ac:dyDescent="0.25">
      <c r="A4" s="462"/>
      <c r="B4" s="544"/>
      <c r="C4" s="1058"/>
      <c r="D4" s="463" t="s">
        <v>113</v>
      </c>
      <c r="E4" s="827" t="s">
        <v>462</v>
      </c>
      <c r="F4" s="827" t="s">
        <v>463</v>
      </c>
      <c r="G4" s="464" t="s">
        <v>398</v>
      </c>
      <c r="H4" s="465" t="s">
        <v>339</v>
      </c>
      <c r="I4" s="464" t="s">
        <v>185</v>
      </c>
      <c r="J4" s="464" t="s">
        <v>432</v>
      </c>
      <c r="K4" s="464" t="s">
        <v>340</v>
      </c>
      <c r="L4" s="464" t="s">
        <v>399</v>
      </c>
      <c r="M4" s="464" t="s">
        <v>341</v>
      </c>
      <c r="N4" s="464" t="s">
        <v>433</v>
      </c>
      <c r="O4" s="465" t="s">
        <v>342</v>
      </c>
    </row>
    <row r="5" spans="1:16" ht="16.5" thickBot="1" x14ac:dyDescent="0.3">
      <c r="A5" s="540" t="s">
        <v>7</v>
      </c>
      <c r="B5" s="545" t="s">
        <v>7</v>
      </c>
      <c r="C5" s="1059" t="s">
        <v>8</v>
      </c>
      <c r="D5" s="537" t="s">
        <v>30</v>
      </c>
      <c r="E5" s="828" t="s">
        <v>211</v>
      </c>
      <c r="F5" s="828" t="s">
        <v>211</v>
      </c>
      <c r="G5" s="536" t="s">
        <v>211</v>
      </c>
      <c r="H5" s="536" t="s">
        <v>211</v>
      </c>
      <c r="I5" s="536" t="s">
        <v>211</v>
      </c>
      <c r="J5" s="536" t="s">
        <v>211</v>
      </c>
      <c r="K5" s="536" t="s">
        <v>211</v>
      </c>
      <c r="L5" s="536" t="s">
        <v>211</v>
      </c>
      <c r="M5" s="536" t="s">
        <v>211</v>
      </c>
      <c r="N5" s="536" t="s">
        <v>211</v>
      </c>
      <c r="O5" s="536" t="s">
        <v>211</v>
      </c>
    </row>
    <row r="6" spans="1:16" ht="15" x14ac:dyDescent="0.25">
      <c r="A6" s="466"/>
      <c r="B6" s="685"/>
      <c r="C6" s="1060" t="s">
        <v>178</v>
      </c>
      <c r="D6" s="686">
        <f t="shared" ref="D6:D11" si="0">SUM(E6:O6)</f>
        <v>172941</v>
      </c>
      <c r="E6" s="687"/>
      <c r="F6" s="829"/>
      <c r="G6" s="307"/>
      <c r="H6" s="307">
        <v>58805</v>
      </c>
      <c r="I6" s="307">
        <v>16289</v>
      </c>
      <c r="J6" s="307">
        <v>15228</v>
      </c>
      <c r="K6" s="307">
        <v>7341</v>
      </c>
      <c r="L6" s="307"/>
      <c r="M6" s="307">
        <v>0</v>
      </c>
      <c r="N6" s="307">
        <v>33013</v>
      </c>
      <c r="O6" s="307">
        <v>42265</v>
      </c>
      <c r="P6" s="290"/>
    </row>
    <row r="7" spans="1:16" ht="15" x14ac:dyDescent="0.25">
      <c r="A7" s="467"/>
      <c r="B7" s="297"/>
      <c r="C7" s="706" t="s">
        <v>179</v>
      </c>
      <c r="D7" s="830">
        <f t="shared" si="0"/>
        <v>688109</v>
      </c>
      <c r="E7" s="824">
        <v>33471</v>
      </c>
      <c r="F7" s="824">
        <v>21000</v>
      </c>
      <c r="G7" s="877">
        <v>950</v>
      </c>
      <c r="H7" s="307">
        <f>72183+20000-58805</f>
        <v>33378</v>
      </c>
      <c r="I7" s="967"/>
      <c r="J7" s="967">
        <f>89105-15228</f>
        <v>73877</v>
      </c>
      <c r="K7" s="967">
        <v>2340</v>
      </c>
      <c r="L7" s="878">
        <v>13246</v>
      </c>
      <c r="M7" s="968">
        <v>483733</v>
      </c>
      <c r="N7" s="307">
        <v>26114</v>
      </c>
      <c r="O7" s="307"/>
      <c r="P7" s="290"/>
    </row>
    <row r="8" spans="1:16" ht="15" x14ac:dyDescent="0.25">
      <c r="A8" s="467"/>
      <c r="B8" s="297"/>
      <c r="C8" s="706" t="s">
        <v>62</v>
      </c>
      <c r="D8" s="830">
        <f t="shared" si="0"/>
        <v>2628697.15</v>
      </c>
      <c r="E8" s="876">
        <v>189672</v>
      </c>
      <c r="F8" s="876">
        <v>49000</v>
      </c>
      <c r="G8" s="877">
        <v>5100</v>
      </c>
      <c r="H8" s="307">
        <v>235866</v>
      </c>
      <c r="I8" s="967">
        <f>190265-16289</f>
        <v>173976</v>
      </c>
      <c r="J8" s="967">
        <v>16920</v>
      </c>
      <c r="K8" s="967">
        <f>22672-7341</f>
        <v>15331</v>
      </c>
      <c r="L8" s="878">
        <v>18393.150000000001</v>
      </c>
      <c r="M8" s="968">
        <v>124942</v>
      </c>
      <c r="N8" s="307">
        <f>170503-33013</f>
        <v>137490</v>
      </c>
      <c r="O8" s="307">
        <f>1704272-42265</f>
        <v>1662007</v>
      </c>
      <c r="P8" s="290"/>
    </row>
    <row r="9" spans="1:16" ht="15" x14ac:dyDescent="0.25">
      <c r="A9" s="468"/>
      <c r="B9" s="630"/>
      <c r="C9" s="706" t="s">
        <v>242</v>
      </c>
      <c r="D9" s="830">
        <f t="shared" si="0"/>
        <v>17766065</v>
      </c>
      <c r="E9" s="831"/>
      <c r="F9" s="831"/>
      <c r="G9" s="307"/>
      <c r="H9" s="307"/>
      <c r="I9" s="307"/>
      <c r="J9" s="307"/>
      <c r="K9" s="307"/>
      <c r="L9" s="307"/>
      <c r="M9" s="307">
        <v>15371257</v>
      </c>
      <c r="N9" s="307"/>
      <c r="O9" s="307">
        <v>2394808</v>
      </c>
      <c r="P9" s="290"/>
    </row>
    <row r="10" spans="1:16" ht="15" x14ac:dyDescent="0.25">
      <c r="A10" s="468"/>
      <c r="B10" s="630"/>
      <c r="C10" s="1061" t="s">
        <v>243</v>
      </c>
      <c r="D10" s="879">
        <f t="shared" si="0"/>
        <v>6448983</v>
      </c>
      <c r="E10" s="831"/>
      <c r="F10" s="831"/>
      <c r="G10" s="307"/>
      <c r="H10" s="307">
        <v>529925</v>
      </c>
      <c r="I10" s="307"/>
      <c r="J10" s="307"/>
      <c r="K10" s="307"/>
      <c r="L10" s="307"/>
      <c r="M10" s="307">
        <v>5919058</v>
      </c>
      <c r="N10" s="307"/>
      <c r="O10" s="307"/>
      <c r="P10" s="290"/>
    </row>
    <row r="11" spans="1:16" ht="15.75" thickBot="1" x14ac:dyDescent="0.3">
      <c r="A11" s="468"/>
      <c r="B11" s="630"/>
      <c r="C11" s="1062" t="s">
        <v>9</v>
      </c>
      <c r="D11" s="880">
        <f t="shared" si="0"/>
        <v>0</v>
      </c>
      <c r="E11" s="881"/>
      <c r="F11" s="881"/>
      <c r="G11" s="307"/>
      <c r="H11" s="307"/>
      <c r="I11" s="307"/>
      <c r="J11" s="307"/>
      <c r="K11" s="307"/>
      <c r="L11" s="307"/>
      <c r="M11" s="307"/>
      <c r="N11" s="307"/>
      <c r="O11" s="307"/>
      <c r="P11" s="290"/>
    </row>
    <row r="12" spans="1:16" ht="15.75" thickBot="1" x14ac:dyDescent="0.3">
      <c r="A12" s="469"/>
      <c r="B12" s="633"/>
      <c r="C12" s="300" t="s">
        <v>36</v>
      </c>
      <c r="D12" s="690">
        <f>SUM(D7:D11)</f>
        <v>27531854.149999999</v>
      </c>
      <c r="E12" s="832">
        <f t="shared" ref="E12:N12" si="1">SUM(E7:E11)</f>
        <v>223143</v>
      </c>
      <c r="F12" s="832">
        <f t="shared" si="1"/>
        <v>70000</v>
      </c>
      <c r="G12" s="688">
        <f t="shared" si="1"/>
        <v>6050</v>
      </c>
      <c r="H12" s="688">
        <f>SUM(H7:H11)</f>
        <v>799169</v>
      </c>
      <c r="I12" s="688">
        <f t="shared" si="1"/>
        <v>173976</v>
      </c>
      <c r="J12" s="688">
        <f t="shared" si="1"/>
        <v>90797</v>
      </c>
      <c r="K12" s="688">
        <f t="shared" si="1"/>
        <v>17671</v>
      </c>
      <c r="L12" s="688">
        <f t="shared" si="1"/>
        <v>31639.15</v>
      </c>
      <c r="M12" s="688">
        <f t="shared" si="1"/>
        <v>21898990</v>
      </c>
      <c r="N12" s="688">
        <f t="shared" si="1"/>
        <v>163604</v>
      </c>
      <c r="O12" s="688">
        <f t="shared" ref="O12" si="2">SUM(O7:O11)</f>
        <v>4056815</v>
      </c>
      <c r="P12" s="290"/>
    </row>
    <row r="13" spans="1:16" ht="15.75" thickBot="1" x14ac:dyDescent="0.3">
      <c r="A13" s="471"/>
      <c r="B13" s="301"/>
      <c r="C13" s="689" t="s">
        <v>180</v>
      </c>
      <c r="D13" s="690">
        <f>SUM(D6+D12)</f>
        <v>27704795.149999999</v>
      </c>
      <c r="E13" s="691">
        <f t="shared" ref="E13:N13" si="3">SUM(E6+E12)</f>
        <v>223143</v>
      </c>
      <c r="F13" s="691">
        <f t="shared" si="3"/>
        <v>70000</v>
      </c>
      <c r="G13" s="691">
        <f t="shared" si="3"/>
        <v>6050</v>
      </c>
      <c r="H13" s="691">
        <f t="shared" si="3"/>
        <v>857974</v>
      </c>
      <c r="I13" s="691">
        <f t="shared" si="3"/>
        <v>190265</v>
      </c>
      <c r="J13" s="691">
        <f t="shared" si="3"/>
        <v>106025</v>
      </c>
      <c r="K13" s="691">
        <f t="shared" si="3"/>
        <v>25012</v>
      </c>
      <c r="L13" s="691">
        <f t="shared" si="3"/>
        <v>31639.15</v>
      </c>
      <c r="M13" s="691">
        <f t="shared" si="3"/>
        <v>21898990</v>
      </c>
      <c r="N13" s="691">
        <f t="shared" si="3"/>
        <v>196617</v>
      </c>
      <c r="O13" s="691">
        <f t="shared" ref="O13" si="4">SUM(O6+O12)</f>
        <v>4099080</v>
      </c>
      <c r="P13" s="290"/>
    </row>
    <row r="14" spans="1:16" ht="15.75" thickBot="1" x14ac:dyDescent="0.3">
      <c r="A14" s="472"/>
      <c r="B14" s="692"/>
      <c r="C14" s="693"/>
      <c r="D14" s="694"/>
      <c r="E14" s="694"/>
      <c r="F14" s="694"/>
      <c r="G14" s="695"/>
      <c r="H14" s="966"/>
      <c r="I14" s="966"/>
      <c r="J14" s="966"/>
      <c r="K14" s="966"/>
      <c r="L14" s="966"/>
      <c r="M14" s="966"/>
      <c r="N14" s="966"/>
      <c r="O14" s="695"/>
      <c r="P14" s="696"/>
    </row>
    <row r="15" spans="1:16" ht="16.5" thickBot="1" x14ac:dyDescent="0.3">
      <c r="A15" s="541" t="s">
        <v>7</v>
      </c>
      <c r="B15" s="697" t="s">
        <v>7</v>
      </c>
      <c r="C15" s="698" t="s">
        <v>10</v>
      </c>
      <c r="D15" s="699" t="s">
        <v>32</v>
      </c>
      <c r="E15" s="700" t="s">
        <v>211</v>
      </c>
      <c r="F15" s="1056" t="s">
        <v>211</v>
      </c>
      <c r="G15" s="701" t="s">
        <v>211</v>
      </c>
      <c r="H15" s="701" t="s">
        <v>211</v>
      </c>
      <c r="I15" s="701" t="s">
        <v>211</v>
      </c>
      <c r="J15" s="701" t="s">
        <v>211</v>
      </c>
      <c r="K15" s="701" t="s">
        <v>211</v>
      </c>
      <c r="L15" s="701" t="s">
        <v>211</v>
      </c>
      <c r="M15" s="701" t="s">
        <v>211</v>
      </c>
      <c r="N15" s="701" t="s">
        <v>211</v>
      </c>
      <c r="O15" s="702" t="s">
        <v>211</v>
      </c>
      <c r="P15" s="290"/>
    </row>
    <row r="16" spans="1:16" ht="15" x14ac:dyDescent="0.25">
      <c r="A16" s="547">
        <v>1100</v>
      </c>
      <c r="B16" s="703"/>
      <c r="C16" s="704" t="s">
        <v>11</v>
      </c>
      <c r="D16" s="705">
        <f>SUM(E16:O16)</f>
        <v>166402</v>
      </c>
      <c r="E16" s="823">
        <v>19050</v>
      </c>
      <c r="F16" s="833"/>
      <c r="G16" s="542"/>
      <c r="H16" s="542">
        <v>15282</v>
      </c>
      <c r="I16" s="542">
        <v>11000</v>
      </c>
      <c r="J16" s="542"/>
      <c r="K16" s="542">
        <v>120</v>
      </c>
      <c r="L16" s="542"/>
      <c r="M16" s="542">
        <v>120950</v>
      </c>
      <c r="N16" s="542"/>
      <c r="O16" s="542"/>
      <c r="P16" s="290"/>
    </row>
    <row r="17" spans="1:16" ht="60" x14ac:dyDescent="0.25">
      <c r="A17" s="548">
        <v>1200</v>
      </c>
      <c r="B17" s="297"/>
      <c r="C17" s="706" t="s">
        <v>12</v>
      </c>
      <c r="D17" s="707">
        <f>SUM(E17:O17)</f>
        <v>40560</v>
      </c>
      <c r="E17" s="824">
        <v>4572</v>
      </c>
      <c r="F17" s="834"/>
      <c r="G17" s="298"/>
      <c r="H17" s="298">
        <v>4718</v>
      </c>
      <c r="I17" s="298">
        <v>2700</v>
      </c>
      <c r="J17" s="298"/>
      <c r="K17" s="298">
        <v>38</v>
      </c>
      <c r="L17" s="298"/>
      <c r="M17" s="969">
        <v>28532</v>
      </c>
      <c r="N17" s="298"/>
      <c r="O17" s="298"/>
      <c r="P17" s="290"/>
    </row>
    <row r="18" spans="1:16" ht="15" x14ac:dyDescent="0.25">
      <c r="A18" s="548">
        <v>2000</v>
      </c>
      <c r="B18" s="297"/>
      <c r="C18" s="302" t="s">
        <v>13</v>
      </c>
      <c r="D18" s="707">
        <f>SUM(D19+D20+D21+D22+D23)</f>
        <v>244618</v>
      </c>
      <c r="E18" s="309">
        <f t="shared" ref="E18:N18" si="5">SUM(E19+E20+E21+E22+E23)</f>
        <v>45978</v>
      </c>
      <c r="F18" s="309">
        <f t="shared" si="5"/>
        <v>0</v>
      </c>
      <c r="G18" s="298">
        <f t="shared" si="5"/>
        <v>6050</v>
      </c>
      <c r="H18" s="298">
        <f t="shared" si="5"/>
        <v>0</v>
      </c>
      <c r="I18" s="298">
        <f t="shared" si="5"/>
        <v>176565</v>
      </c>
      <c r="J18" s="298">
        <f t="shared" si="5"/>
        <v>0</v>
      </c>
      <c r="K18" s="298">
        <f t="shared" si="5"/>
        <v>14385</v>
      </c>
      <c r="L18" s="298">
        <f t="shared" si="5"/>
        <v>1640</v>
      </c>
      <c r="M18" s="298">
        <f t="shared" si="5"/>
        <v>0</v>
      </c>
      <c r="N18" s="298">
        <f t="shared" si="5"/>
        <v>0</v>
      </c>
      <c r="O18" s="298">
        <f t="shared" ref="O18" si="6">SUM(O19+O20+O21+O22+O23)</f>
        <v>0</v>
      </c>
      <c r="P18" s="290"/>
    </row>
    <row r="19" spans="1:16" ht="15" x14ac:dyDescent="0.25">
      <c r="A19" s="548">
        <v>2100</v>
      </c>
      <c r="B19" s="297"/>
      <c r="C19" s="302" t="s">
        <v>14</v>
      </c>
      <c r="D19" s="707">
        <f t="shared" ref="D19:D29" si="7">SUM(E19:O19)</f>
        <v>3561</v>
      </c>
      <c r="E19" s="708"/>
      <c r="F19" s="834"/>
      <c r="G19" s="298"/>
      <c r="H19" s="298"/>
      <c r="I19" s="298"/>
      <c r="J19" s="298"/>
      <c r="K19" s="298">
        <v>1921</v>
      </c>
      <c r="L19" s="298">
        <v>1640</v>
      </c>
      <c r="M19" s="298"/>
      <c r="N19" s="298"/>
      <c r="O19" s="298"/>
      <c r="P19" s="290"/>
    </row>
    <row r="20" spans="1:16" ht="15" x14ac:dyDescent="0.25">
      <c r="A20" s="548">
        <v>2200</v>
      </c>
      <c r="B20" s="297"/>
      <c r="C20" s="302" t="s">
        <v>15</v>
      </c>
      <c r="D20" s="707">
        <f t="shared" si="7"/>
        <v>234187</v>
      </c>
      <c r="E20" s="835">
        <v>45978</v>
      </c>
      <c r="F20" s="834"/>
      <c r="G20" s="298"/>
      <c r="H20" s="298"/>
      <c r="I20" s="298">
        <v>176565</v>
      </c>
      <c r="J20" s="298"/>
      <c r="K20" s="298">
        <f>12360-716</f>
        <v>11644</v>
      </c>
      <c r="L20" s="298"/>
      <c r="M20" s="298"/>
      <c r="N20" s="298"/>
      <c r="O20" s="298"/>
      <c r="P20" s="290"/>
    </row>
    <row r="21" spans="1:16" ht="15" x14ac:dyDescent="0.25">
      <c r="A21" s="548">
        <v>2300</v>
      </c>
      <c r="B21" s="297"/>
      <c r="C21" s="302" t="s">
        <v>16</v>
      </c>
      <c r="D21" s="707">
        <f t="shared" si="7"/>
        <v>6870</v>
      </c>
      <c r="E21" s="708"/>
      <c r="F21" s="834"/>
      <c r="G21" s="298">
        <v>6050</v>
      </c>
      <c r="H21" s="659"/>
      <c r="I21" s="298"/>
      <c r="J21" s="298"/>
      <c r="K21" s="298">
        <v>820</v>
      </c>
      <c r="L21" s="298"/>
      <c r="M21" s="298"/>
      <c r="N21" s="298"/>
      <c r="O21" s="298"/>
      <c r="P21" s="290"/>
    </row>
    <row r="22" spans="1:16" ht="15" x14ac:dyDescent="0.25">
      <c r="A22" s="548">
        <v>2400</v>
      </c>
      <c r="B22" s="476"/>
      <c r="C22" s="304" t="s">
        <v>181</v>
      </c>
      <c r="D22" s="479">
        <f t="shared" si="7"/>
        <v>0</v>
      </c>
      <c r="E22" s="836"/>
      <c r="F22" s="837"/>
      <c r="G22" s="477"/>
      <c r="H22" s="478"/>
      <c r="I22" s="477"/>
      <c r="J22" s="477"/>
      <c r="K22" s="477"/>
      <c r="L22" s="477"/>
      <c r="M22" s="477"/>
      <c r="N22" s="477"/>
      <c r="O22" s="477"/>
    </row>
    <row r="23" spans="1:16" ht="15" x14ac:dyDescent="0.25">
      <c r="A23" s="548">
        <v>2500</v>
      </c>
      <c r="B23" s="476"/>
      <c r="C23" s="304" t="s">
        <v>17</v>
      </c>
      <c r="D23" s="479">
        <f t="shared" si="7"/>
        <v>0</v>
      </c>
      <c r="E23" s="708"/>
      <c r="F23" s="838"/>
      <c r="G23" s="477"/>
      <c r="H23" s="478"/>
      <c r="I23" s="477"/>
      <c r="J23" s="477"/>
      <c r="K23" s="477"/>
      <c r="L23" s="477"/>
      <c r="M23" s="477"/>
      <c r="N23" s="477"/>
      <c r="O23" s="477"/>
    </row>
    <row r="24" spans="1:16" ht="15" x14ac:dyDescent="0.25">
      <c r="A24" s="548">
        <v>3200</v>
      </c>
      <c r="B24" s="476">
        <v>3260</v>
      </c>
      <c r="C24" s="304" t="s">
        <v>182</v>
      </c>
      <c r="D24" s="479">
        <f t="shared" si="7"/>
        <v>0</v>
      </c>
      <c r="E24" s="836"/>
      <c r="F24" s="837"/>
      <c r="G24" s="477"/>
      <c r="H24" s="478"/>
      <c r="I24" s="477"/>
      <c r="J24" s="477"/>
      <c r="K24" s="477"/>
      <c r="L24" s="477"/>
      <c r="M24" s="477"/>
      <c r="N24" s="477"/>
      <c r="O24" s="477"/>
    </row>
    <row r="25" spans="1:16" ht="15" x14ac:dyDescent="0.25">
      <c r="A25" s="548">
        <v>5100</v>
      </c>
      <c r="B25" s="476"/>
      <c r="C25" s="304" t="s">
        <v>22</v>
      </c>
      <c r="D25" s="479">
        <f t="shared" si="7"/>
        <v>0</v>
      </c>
      <c r="E25" s="708"/>
      <c r="F25" s="838"/>
      <c r="G25" s="477"/>
      <c r="H25" s="478"/>
      <c r="I25" s="477"/>
      <c r="J25" s="477"/>
      <c r="K25" s="477"/>
      <c r="L25" s="477"/>
      <c r="M25" s="477"/>
      <c r="N25" s="477"/>
      <c r="O25" s="477"/>
    </row>
    <row r="26" spans="1:16" ht="15" x14ac:dyDescent="0.25">
      <c r="A26" s="548">
        <v>5200</v>
      </c>
      <c r="B26" s="476"/>
      <c r="C26" s="304" t="s">
        <v>23</v>
      </c>
      <c r="D26" s="479">
        <f t="shared" si="7"/>
        <v>27253215</v>
      </c>
      <c r="E26" s="835">
        <v>153543</v>
      </c>
      <c r="F26" s="839">
        <v>70000</v>
      </c>
      <c r="G26" s="477"/>
      <c r="H26" s="478">
        <v>837974</v>
      </c>
      <c r="I26" s="477"/>
      <c r="J26" s="477">
        <v>106025</v>
      </c>
      <c r="K26" s="477">
        <v>10469</v>
      </c>
      <c r="L26" s="477">
        <v>29999</v>
      </c>
      <c r="M26" s="298">
        <v>21749508</v>
      </c>
      <c r="N26" s="298">
        <v>196617</v>
      </c>
      <c r="O26" s="477">
        <v>4099080</v>
      </c>
    </row>
    <row r="27" spans="1:16" ht="15" x14ac:dyDescent="0.25">
      <c r="A27" s="548">
        <v>6200</v>
      </c>
      <c r="B27" s="476"/>
      <c r="C27" s="304" t="s">
        <v>24</v>
      </c>
      <c r="D27" s="479">
        <f t="shared" si="7"/>
        <v>0</v>
      </c>
      <c r="E27" s="840"/>
      <c r="F27" s="841"/>
      <c r="G27" s="477"/>
      <c r="H27" s="478"/>
      <c r="I27" s="477"/>
      <c r="J27" s="477"/>
      <c r="K27" s="477"/>
      <c r="L27" s="477"/>
      <c r="M27" s="477"/>
      <c r="N27" s="477"/>
      <c r="O27" s="477"/>
    </row>
    <row r="28" spans="1:16" ht="15" x14ac:dyDescent="0.25">
      <c r="A28" s="549">
        <v>7240</v>
      </c>
      <c r="B28" s="480"/>
      <c r="C28" s="305" t="s">
        <v>183</v>
      </c>
      <c r="D28" s="479">
        <f t="shared" si="7"/>
        <v>0</v>
      </c>
      <c r="E28" s="842"/>
      <c r="F28" s="841"/>
      <c r="G28" s="534"/>
      <c r="H28" s="535"/>
      <c r="I28" s="534"/>
      <c r="J28" s="534"/>
      <c r="K28" s="534"/>
      <c r="L28" s="534"/>
      <c r="M28" s="534"/>
      <c r="N28" s="534"/>
      <c r="O28" s="534"/>
    </row>
    <row r="29" spans="1:16" ht="15.75" thickBot="1" x14ac:dyDescent="0.3">
      <c r="A29" s="549">
        <v>7700</v>
      </c>
      <c r="B29" s="480">
        <v>7720</v>
      </c>
      <c r="C29" s="305" t="s">
        <v>116</v>
      </c>
      <c r="D29" s="479">
        <f t="shared" si="7"/>
        <v>0</v>
      </c>
      <c r="E29" s="661"/>
      <c r="F29" s="843"/>
      <c r="G29" s="534"/>
      <c r="H29" s="535"/>
      <c r="I29" s="534"/>
      <c r="J29" s="534"/>
      <c r="K29" s="534"/>
      <c r="L29" s="534"/>
      <c r="M29" s="534"/>
      <c r="N29" s="534"/>
      <c r="O29" s="534"/>
    </row>
    <row r="30" spans="1:16" ht="15" thickBot="1" x14ac:dyDescent="0.25">
      <c r="A30" s="474"/>
      <c r="B30" s="475"/>
      <c r="C30" s="470" t="s">
        <v>26</v>
      </c>
      <c r="D30" s="481">
        <f>SUM(D16+D17+D18+D24+D25+D26+D27+D28+D29)</f>
        <v>27704795</v>
      </c>
      <c r="E30" s="660">
        <f t="shared" ref="E30:N30" si="8">SUM(E16+E17+E18+E24+E25+E26+E27+E28+E29)</f>
        <v>223143</v>
      </c>
      <c r="F30" s="660">
        <f t="shared" si="8"/>
        <v>70000</v>
      </c>
      <c r="G30" s="481">
        <f t="shared" si="8"/>
        <v>6050</v>
      </c>
      <c r="H30" s="481">
        <f t="shared" si="8"/>
        <v>857974</v>
      </c>
      <c r="I30" s="481">
        <f t="shared" si="8"/>
        <v>190265</v>
      </c>
      <c r="J30" s="481">
        <f t="shared" si="8"/>
        <v>106025</v>
      </c>
      <c r="K30" s="481">
        <f t="shared" si="8"/>
        <v>25012</v>
      </c>
      <c r="L30" s="481">
        <f t="shared" si="8"/>
        <v>31639</v>
      </c>
      <c r="M30" s="481">
        <f t="shared" si="8"/>
        <v>21898990</v>
      </c>
      <c r="N30" s="481">
        <f t="shared" si="8"/>
        <v>196617</v>
      </c>
      <c r="O30" s="481">
        <f t="shared" ref="O30" si="9">SUM(O16+O17+O18+O24+O25+O26+O27+O28+O29)</f>
        <v>4099080</v>
      </c>
    </row>
    <row r="31" spans="1:16" ht="15.75" thickBot="1" x14ac:dyDescent="0.3">
      <c r="A31" s="482"/>
      <c r="B31" s="483"/>
      <c r="C31" s="484"/>
      <c r="D31" s="538">
        <f t="shared" ref="D31:N31" si="10">D13-D30</f>
        <v>0.14999999850988388</v>
      </c>
      <c r="E31" s="539">
        <f t="shared" si="10"/>
        <v>0</v>
      </c>
      <c r="F31" s="539">
        <f t="shared" si="10"/>
        <v>0</v>
      </c>
      <c r="G31" s="539">
        <f t="shared" si="10"/>
        <v>0</v>
      </c>
      <c r="H31" s="539">
        <f t="shared" si="10"/>
        <v>0</v>
      </c>
      <c r="I31" s="539">
        <f t="shared" si="10"/>
        <v>0</v>
      </c>
      <c r="J31" s="539">
        <f t="shared" si="10"/>
        <v>0</v>
      </c>
      <c r="K31" s="539">
        <f t="shared" si="10"/>
        <v>0</v>
      </c>
      <c r="L31" s="539">
        <f t="shared" si="10"/>
        <v>0.15000000000145519</v>
      </c>
      <c r="M31" s="539">
        <f t="shared" si="10"/>
        <v>0</v>
      </c>
      <c r="N31" s="539">
        <f t="shared" si="10"/>
        <v>0</v>
      </c>
      <c r="O31" s="539">
        <f t="shared" ref="O31" si="11">O13-O30</f>
        <v>0</v>
      </c>
    </row>
    <row r="33" spans="3:4" ht="15" x14ac:dyDescent="0.25">
      <c r="C33" s="8" t="s">
        <v>123</v>
      </c>
      <c r="D33" s="1" t="s">
        <v>38</v>
      </c>
    </row>
  </sheetData>
  <pageMargins left="0.11811023622047245" right="0.11811023622047245" top="0.74803149606299213" bottom="0.74803149606299213" header="0.31496062992125984" footer="0.31496062992125984"/>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84"/>
  <sheetViews>
    <sheetView workbookViewId="0">
      <selection activeCell="E64" sqref="E64"/>
    </sheetView>
  </sheetViews>
  <sheetFormatPr defaultRowHeight="15" x14ac:dyDescent="0.25"/>
  <cols>
    <col min="1" max="1" width="55" style="1" customWidth="1"/>
    <col min="2" max="2" width="9.140625" style="1" customWidth="1"/>
    <col min="3" max="4" width="12.5703125" style="1" customWidth="1"/>
    <col min="5" max="7" width="9.140625" style="1"/>
    <col min="8" max="8" width="18" style="1" customWidth="1"/>
    <col min="9" max="9" width="9.85546875" style="1" customWidth="1"/>
    <col min="10" max="246" width="9.140625" style="1"/>
    <col min="247" max="247" width="50.42578125" style="1" customWidth="1"/>
    <col min="248" max="248" width="9.140625" style="1" customWidth="1"/>
    <col min="249" max="249" width="12.5703125" style="1" customWidth="1"/>
    <col min="250" max="502" width="9.140625" style="1"/>
    <col min="503" max="503" width="50.42578125" style="1" customWidth="1"/>
    <col min="504" max="504" width="9.140625" style="1" customWidth="1"/>
    <col min="505" max="505" width="12.5703125" style="1" customWidth="1"/>
    <col min="506" max="758" width="9.140625" style="1"/>
    <col min="759" max="759" width="50.42578125" style="1" customWidth="1"/>
    <col min="760" max="760" width="9.140625" style="1" customWidth="1"/>
    <col min="761" max="761" width="12.5703125" style="1" customWidth="1"/>
    <col min="762" max="1014" width="9.140625" style="1"/>
    <col min="1015" max="1015" width="50.42578125" style="1" customWidth="1"/>
    <col min="1016" max="1016" width="9.140625" style="1" customWidth="1"/>
    <col min="1017" max="1017" width="12.5703125" style="1" customWidth="1"/>
    <col min="1018" max="1270" width="9.140625" style="1"/>
    <col min="1271" max="1271" width="50.42578125" style="1" customWidth="1"/>
    <col min="1272" max="1272" width="9.140625" style="1" customWidth="1"/>
    <col min="1273" max="1273" width="12.5703125" style="1" customWidth="1"/>
    <col min="1274" max="1526" width="9.140625" style="1"/>
    <col min="1527" max="1527" width="50.42578125" style="1" customWidth="1"/>
    <col min="1528" max="1528" width="9.140625" style="1" customWidth="1"/>
    <col min="1529" max="1529" width="12.5703125" style="1" customWidth="1"/>
    <col min="1530" max="1782" width="9.140625" style="1"/>
    <col min="1783" max="1783" width="50.42578125" style="1" customWidth="1"/>
    <col min="1784" max="1784" width="9.140625" style="1" customWidth="1"/>
    <col min="1785" max="1785" width="12.5703125" style="1" customWidth="1"/>
    <col min="1786" max="2038" width="9.140625" style="1"/>
    <col min="2039" max="2039" width="50.42578125" style="1" customWidth="1"/>
    <col min="2040" max="2040" width="9.140625" style="1" customWidth="1"/>
    <col min="2041" max="2041" width="12.5703125" style="1" customWidth="1"/>
    <col min="2042" max="2294" width="9.140625" style="1"/>
    <col min="2295" max="2295" width="50.42578125" style="1" customWidth="1"/>
    <col min="2296" max="2296" width="9.140625" style="1" customWidth="1"/>
    <col min="2297" max="2297" width="12.5703125" style="1" customWidth="1"/>
    <col min="2298" max="2550" width="9.140625" style="1"/>
    <col min="2551" max="2551" width="50.42578125" style="1" customWidth="1"/>
    <col min="2552" max="2552" width="9.140625" style="1" customWidth="1"/>
    <col min="2553" max="2553" width="12.5703125" style="1" customWidth="1"/>
    <col min="2554" max="2806" width="9.140625" style="1"/>
    <col min="2807" max="2807" width="50.42578125" style="1" customWidth="1"/>
    <col min="2808" max="2808" width="9.140625" style="1" customWidth="1"/>
    <col min="2809" max="2809" width="12.5703125" style="1" customWidth="1"/>
    <col min="2810" max="3062" width="9.140625" style="1"/>
    <col min="3063" max="3063" width="50.42578125" style="1" customWidth="1"/>
    <col min="3064" max="3064" width="9.140625" style="1" customWidth="1"/>
    <col min="3065" max="3065" width="12.5703125" style="1" customWidth="1"/>
    <col min="3066" max="3318" width="9.140625" style="1"/>
    <col min="3319" max="3319" width="50.42578125" style="1" customWidth="1"/>
    <col min="3320" max="3320" width="9.140625" style="1" customWidth="1"/>
    <col min="3321" max="3321" width="12.5703125" style="1" customWidth="1"/>
    <col min="3322" max="3574" width="9.140625" style="1"/>
    <col min="3575" max="3575" width="50.42578125" style="1" customWidth="1"/>
    <col min="3576" max="3576" width="9.140625" style="1" customWidth="1"/>
    <col min="3577" max="3577" width="12.5703125" style="1" customWidth="1"/>
    <col min="3578" max="3830" width="9.140625" style="1"/>
    <col min="3831" max="3831" width="50.42578125" style="1" customWidth="1"/>
    <col min="3832" max="3832" width="9.140625" style="1" customWidth="1"/>
    <col min="3833" max="3833" width="12.5703125" style="1" customWidth="1"/>
    <col min="3834" max="4086" width="9.140625" style="1"/>
    <col min="4087" max="4087" width="50.42578125" style="1" customWidth="1"/>
    <col min="4088" max="4088" width="9.140625" style="1" customWidth="1"/>
    <col min="4089" max="4089" width="12.5703125" style="1" customWidth="1"/>
    <col min="4090" max="4342" width="9.140625" style="1"/>
    <col min="4343" max="4343" width="50.42578125" style="1" customWidth="1"/>
    <col min="4344" max="4344" width="9.140625" style="1" customWidth="1"/>
    <col min="4345" max="4345" width="12.5703125" style="1" customWidth="1"/>
    <col min="4346" max="4598" width="9.140625" style="1"/>
    <col min="4599" max="4599" width="50.42578125" style="1" customWidth="1"/>
    <col min="4600" max="4600" width="9.140625" style="1" customWidth="1"/>
    <col min="4601" max="4601" width="12.5703125" style="1" customWidth="1"/>
    <col min="4602" max="4854" width="9.140625" style="1"/>
    <col min="4855" max="4855" width="50.42578125" style="1" customWidth="1"/>
    <col min="4856" max="4856" width="9.140625" style="1" customWidth="1"/>
    <col min="4857" max="4857" width="12.5703125" style="1" customWidth="1"/>
    <col min="4858" max="5110" width="9.140625" style="1"/>
    <col min="5111" max="5111" width="50.42578125" style="1" customWidth="1"/>
    <col min="5112" max="5112" width="9.140625" style="1" customWidth="1"/>
    <col min="5113" max="5113" width="12.5703125" style="1" customWidth="1"/>
    <col min="5114" max="5366" width="9.140625" style="1"/>
    <col min="5367" max="5367" width="50.42578125" style="1" customWidth="1"/>
    <col min="5368" max="5368" width="9.140625" style="1" customWidth="1"/>
    <col min="5369" max="5369" width="12.5703125" style="1" customWidth="1"/>
    <col min="5370" max="5622" width="9.140625" style="1"/>
    <col min="5623" max="5623" width="50.42578125" style="1" customWidth="1"/>
    <col min="5624" max="5624" width="9.140625" style="1" customWidth="1"/>
    <col min="5625" max="5625" width="12.5703125" style="1" customWidth="1"/>
    <col min="5626" max="5878" width="9.140625" style="1"/>
    <col min="5879" max="5879" width="50.42578125" style="1" customWidth="1"/>
    <col min="5880" max="5880" width="9.140625" style="1" customWidth="1"/>
    <col min="5881" max="5881" width="12.5703125" style="1" customWidth="1"/>
    <col min="5882" max="6134" width="9.140625" style="1"/>
    <col min="6135" max="6135" width="50.42578125" style="1" customWidth="1"/>
    <col min="6136" max="6136" width="9.140625" style="1" customWidth="1"/>
    <col min="6137" max="6137" width="12.5703125" style="1" customWidth="1"/>
    <col min="6138" max="6390" width="9.140625" style="1"/>
    <col min="6391" max="6391" width="50.42578125" style="1" customWidth="1"/>
    <col min="6392" max="6392" width="9.140625" style="1" customWidth="1"/>
    <col min="6393" max="6393" width="12.5703125" style="1" customWidth="1"/>
    <col min="6394" max="6646" width="9.140625" style="1"/>
    <col min="6647" max="6647" width="50.42578125" style="1" customWidth="1"/>
    <col min="6648" max="6648" width="9.140625" style="1" customWidth="1"/>
    <col min="6649" max="6649" width="12.5703125" style="1" customWidth="1"/>
    <col min="6650" max="6902" width="9.140625" style="1"/>
    <col min="6903" max="6903" width="50.42578125" style="1" customWidth="1"/>
    <col min="6904" max="6904" width="9.140625" style="1" customWidth="1"/>
    <col min="6905" max="6905" width="12.5703125" style="1" customWidth="1"/>
    <col min="6906" max="7158" width="9.140625" style="1"/>
    <col min="7159" max="7159" width="50.42578125" style="1" customWidth="1"/>
    <col min="7160" max="7160" width="9.140625" style="1" customWidth="1"/>
    <col min="7161" max="7161" width="12.5703125" style="1" customWidth="1"/>
    <col min="7162" max="7414" width="9.140625" style="1"/>
    <col min="7415" max="7415" width="50.42578125" style="1" customWidth="1"/>
    <col min="7416" max="7416" width="9.140625" style="1" customWidth="1"/>
    <col min="7417" max="7417" width="12.5703125" style="1" customWidth="1"/>
    <col min="7418" max="7670" width="9.140625" style="1"/>
    <col min="7671" max="7671" width="50.42578125" style="1" customWidth="1"/>
    <col min="7672" max="7672" width="9.140625" style="1" customWidth="1"/>
    <col min="7673" max="7673" width="12.5703125" style="1" customWidth="1"/>
    <col min="7674" max="7926" width="9.140625" style="1"/>
    <col min="7927" max="7927" width="50.42578125" style="1" customWidth="1"/>
    <col min="7928" max="7928" width="9.140625" style="1" customWidth="1"/>
    <col min="7929" max="7929" width="12.5703125" style="1" customWidth="1"/>
    <col min="7930" max="8182" width="9.140625" style="1"/>
    <col min="8183" max="8183" width="50.42578125" style="1" customWidth="1"/>
    <col min="8184" max="8184" width="9.140625" style="1" customWidth="1"/>
    <col min="8185" max="8185" width="12.5703125" style="1" customWidth="1"/>
    <col min="8186" max="8438" width="9.140625" style="1"/>
    <col min="8439" max="8439" width="50.42578125" style="1" customWidth="1"/>
    <col min="8440" max="8440" width="9.140625" style="1" customWidth="1"/>
    <col min="8441" max="8441" width="12.5703125" style="1" customWidth="1"/>
    <col min="8442" max="8694" width="9.140625" style="1"/>
    <col min="8695" max="8695" width="50.42578125" style="1" customWidth="1"/>
    <col min="8696" max="8696" width="9.140625" style="1" customWidth="1"/>
    <col min="8697" max="8697" width="12.5703125" style="1" customWidth="1"/>
    <col min="8698" max="8950" width="9.140625" style="1"/>
    <col min="8951" max="8951" width="50.42578125" style="1" customWidth="1"/>
    <col min="8952" max="8952" width="9.140625" style="1" customWidth="1"/>
    <col min="8953" max="8953" width="12.5703125" style="1" customWidth="1"/>
    <col min="8954" max="9206" width="9.140625" style="1"/>
    <col min="9207" max="9207" width="50.42578125" style="1" customWidth="1"/>
    <col min="9208" max="9208" width="9.140625" style="1" customWidth="1"/>
    <col min="9209" max="9209" width="12.5703125" style="1" customWidth="1"/>
    <col min="9210" max="9462" width="9.140625" style="1"/>
    <col min="9463" max="9463" width="50.42578125" style="1" customWidth="1"/>
    <col min="9464" max="9464" width="9.140625" style="1" customWidth="1"/>
    <col min="9465" max="9465" width="12.5703125" style="1" customWidth="1"/>
    <col min="9466" max="9718" width="9.140625" style="1"/>
    <col min="9719" max="9719" width="50.42578125" style="1" customWidth="1"/>
    <col min="9720" max="9720" width="9.140625" style="1" customWidth="1"/>
    <col min="9721" max="9721" width="12.5703125" style="1" customWidth="1"/>
    <col min="9722" max="9974" width="9.140625" style="1"/>
    <col min="9975" max="9975" width="50.42578125" style="1" customWidth="1"/>
    <col min="9976" max="9976" width="9.140625" style="1" customWidth="1"/>
    <col min="9977" max="9977" width="12.5703125" style="1" customWidth="1"/>
    <col min="9978" max="10230" width="9.140625" style="1"/>
    <col min="10231" max="10231" width="50.42578125" style="1" customWidth="1"/>
    <col min="10232" max="10232" width="9.140625" style="1" customWidth="1"/>
    <col min="10233" max="10233" width="12.5703125" style="1" customWidth="1"/>
    <col min="10234" max="10486" width="9.140625" style="1"/>
    <col min="10487" max="10487" width="50.42578125" style="1" customWidth="1"/>
    <col min="10488" max="10488" width="9.140625" style="1" customWidth="1"/>
    <col min="10489" max="10489" width="12.5703125" style="1" customWidth="1"/>
    <col min="10490" max="10742" width="9.140625" style="1"/>
    <col min="10743" max="10743" width="50.42578125" style="1" customWidth="1"/>
    <col min="10744" max="10744" width="9.140625" style="1" customWidth="1"/>
    <col min="10745" max="10745" width="12.5703125" style="1" customWidth="1"/>
    <col min="10746" max="10998" width="9.140625" style="1"/>
    <col min="10999" max="10999" width="50.42578125" style="1" customWidth="1"/>
    <col min="11000" max="11000" width="9.140625" style="1" customWidth="1"/>
    <col min="11001" max="11001" width="12.5703125" style="1" customWidth="1"/>
    <col min="11002" max="11254" width="9.140625" style="1"/>
    <col min="11255" max="11255" width="50.42578125" style="1" customWidth="1"/>
    <col min="11256" max="11256" width="9.140625" style="1" customWidth="1"/>
    <col min="11257" max="11257" width="12.5703125" style="1" customWidth="1"/>
    <col min="11258" max="11510" width="9.140625" style="1"/>
    <col min="11511" max="11511" width="50.42578125" style="1" customWidth="1"/>
    <col min="11512" max="11512" width="9.140625" style="1" customWidth="1"/>
    <col min="11513" max="11513" width="12.5703125" style="1" customWidth="1"/>
    <col min="11514" max="11766" width="9.140625" style="1"/>
    <col min="11767" max="11767" width="50.42578125" style="1" customWidth="1"/>
    <col min="11768" max="11768" width="9.140625" style="1" customWidth="1"/>
    <col min="11769" max="11769" width="12.5703125" style="1" customWidth="1"/>
    <col min="11770" max="12022" width="9.140625" style="1"/>
    <col min="12023" max="12023" width="50.42578125" style="1" customWidth="1"/>
    <col min="12024" max="12024" width="9.140625" style="1" customWidth="1"/>
    <col min="12025" max="12025" width="12.5703125" style="1" customWidth="1"/>
    <col min="12026" max="12278" width="9.140625" style="1"/>
    <col min="12279" max="12279" width="50.42578125" style="1" customWidth="1"/>
    <col min="12280" max="12280" width="9.140625" style="1" customWidth="1"/>
    <col min="12281" max="12281" width="12.5703125" style="1" customWidth="1"/>
    <col min="12282" max="12534" width="9.140625" style="1"/>
    <col min="12535" max="12535" width="50.42578125" style="1" customWidth="1"/>
    <col min="12536" max="12536" width="9.140625" style="1" customWidth="1"/>
    <col min="12537" max="12537" width="12.5703125" style="1" customWidth="1"/>
    <col min="12538" max="12790" width="9.140625" style="1"/>
    <col min="12791" max="12791" width="50.42578125" style="1" customWidth="1"/>
    <col min="12792" max="12792" width="9.140625" style="1" customWidth="1"/>
    <col min="12793" max="12793" width="12.5703125" style="1" customWidth="1"/>
    <col min="12794" max="13046" width="9.140625" style="1"/>
    <col min="13047" max="13047" width="50.42578125" style="1" customWidth="1"/>
    <col min="13048" max="13048" width="9.140625" style="1" customWidth="1"/>
    <col min="13049" max="13049" width="12.5703125" style="1" customWidth="1"/>
    <col min="13050" max="13302" width="9.140625" style="1"/>
    <col min="13303" max="13303" width="50.42578125" style="1" customWidth="1"/>
    <col min="13304" max="13304" width="9.140625" style="1" customWidth="1"/>
    <col min="13305" max="13305" width="12.5703125" style="1" customWidth="1"/>
    <col min="13306" max="13558" width="9.140625" style="1"/>
    <col min="13559" max="13559" width="50.42578125" style="1" customWidth="1"/>
    <col min="13560" max="13560" width="9.140625" style="1" customWidth="1"/>
    <col min="13561" max="13561" width="12.5703125" style="1" customWidth="1"/>
    <col min="13562" max="13814" width="9.140625" style="1"/>
    <col min="13815" max="13815" width="50.42578125" style="1" customWidth="1"/>
    <col min="13816" max="13816" width="9.140625" style="1" customWidth="1"/>
    <col min="13817" max="13817" width="12.5703125" style="1" customWidth="1"/>
    <col min="13818" max="14070" width="9.140625" style="1"/>
    <col min="14071" max="14071" width="50.42578125" style="1" customWidth="1"/>
    <col min="14072" max="14072" width="9.140625" style="1" customWidth="1"/>
    <col min="14073" max="14073" width="12.5703125" style="1" customWidth="1"/>
    <col min="14074" max="14326" width="9.140625" style="1"/>
    <col min="14327" max="14327" width="50.42578125" style="1" customWidth="1"/>
    <col min="14328" max="14328" width="9.140625" style="1" customWidth="1"/>
    <col min="14329" max="14329" width="12.5703125" style="1" customWidth="1"/>
    <col min="14330" max="14582" width="9.140625" style="1"/>
    <col min="14583" max="14583" width="50.42578125" style="1" customWidth="1"/>
    <col min="14584" max="14584" width="9.140625" style="1" customWidth="1"/>
    <col min="14585" max="14585" width="12.5703125" style="1" customWidth="1"/>
    <col min="14586" max="14838" width="9.140625" style="1"/>
    <col min="14839" max="14839" width="50.42578125" style="1" customWidth="1"/>
    <col min="14840" max="14840" width="9.140625" style="1" customWidth="1"/>
    <col min="14841" max="14841" width="12.5703125" style="1" customWidth="1"/>
    <col min="14842" max="15094" width="9.140625" style="1"/>
    <col min="15095" max="15095" width="50.42578125" style="1" customWidth="1"/>
    <col min="15096" max="15096" width="9.140625" style="1" customWidth="1"/>
    <col min="15097" max="15097" width="12.5703125" style="1" customWidth="1"/>
    <col min="15098" max="15350" width="9.140625" style="1"/>
    <col min="15351" max="15351" width="50.42578125" style="1" customWidth="1"/>
    <col min="15352" max="15352" width="9.140625" style="1" customWidth="1"/>
    <col min="15353" max="15353" width="12.5703125" style="1" customWidth="1"/>
    <col min="15354" max="15606" width="9.140625" style="1"/>
    <col min="15607" max="15607" width="50.42578125" style="1" customWidth="1"/>
    <col min="15608" max="15608" width="9.140625" style="1" customWidth="1"/>
    <col min="15609" max="15609" width="12.5703125" style="1" customWidth="1"/>
    <col min="15610" max="15862" width="9.140625" style="1"/>
    <col min="15863" max="15863" width="50.42578125" style="1" customWidth="1"/>
    <col min="15864" max="15864" width="9.140625" style="1" customWidth="1"/>
    <col min="15865" max="15865" width="12.5703125" style="1" customWidth="1"/>
    <col min="15866" max="16118" width="9.140625" style="1"/>
    <col min="16119" max="16119" width="50.42578125" style="1" customWidth="1"/>
    <col min="16120" max="16120" width="9.140625" style="1" customWidth="1"/>
    <col min="16121" max="16121" width="12.5703125" style="1" customWidth="1"/>
    <col min="16122" max="16384" width="9.140625" style="1"/>
  </cols>
  <sheetData>
    <row r="1" spans="1:9" x14ac:dyDescent="0.25">
      <c r="A1" s="1" t="s">
        <v>684</v>
      </c>
    </row>
    <row r="2" spans="1:9" ht="18.75" x14ac:dyDescent="0.3">
      <c r="A2" s="1082" t="s">
        <v>161</v>
      </c>
      <c r="B2" s="1082"/>
    </row>
    <row r="3" spans="1:9" ht="30" x14ac:dyDescent="0.25">
      <c r="A3" s="375" t="s">
        <v>42</v>
      </c>
      <c r="B3" s="375" t="s">
        <v>7</v>
      </c>
      <c r="C3" s="376" t="s">
        <v>392</v>
      </c>
      <c r="D3" s="800"/>
      <c r="H3" s="104"/>
      <c r="I3" s="453"/>
    </row>
    <row r="4" spans="1:9" ht="30" x14ac:dyDescent="0.25">
      <c r="A4" s="676" t="s">
        <v>523</v>
      </c>
      <c r="B4" s="677">
        <v>3200</v>
      </c>
      <c r="C4" s="678">
        <v>10000</v>
      </c>
      <c r="D4" s="674"/>
    </row>
    <row r="5" spans="1:9" x14ac:dyDescent="0.25">
      <c r="A5" s="387" t="s">
        <v>162</v>
      </c>
      <c r="B5" s="216">
        <v>3200</v>
      </c>
      <c r="C5" s="378">
        <v>20000</v>
      </c>
      <c r="D5" s="801"/>
    </row>
    <row r="6" spans="1:9" x14ac:dyDescent="0.25">
      <c r="A6" s="387" t="s">
        <v>721</v>
      </c>
      <c r="B6" s="216">
        <v>3200</v>
      </c>
      <c r="C6" s="378">
        <v>17420</v>
      </c>
      <c r="D6" s="902"/>
    </row>
    <row r="7" spans="1:9" x14ac:dyDescent="0.25">
      <c r="A7" s="370" t="s">
        <v>30</v>
      </c>
      <c r="B7" s="370"/>
      <c r="C7" s="379">
        <f>SUM(C4:C6)</f>
        <v>47420</v>
      </c>
      <c r="D7" s="801"/>
    </row>
    <row r="8" spans="1:9" ht="41.25" customHeight="1" x14ac:dyDescent="0.3">
      <c r="A8" s="1082" t="s">
        <v>288</v>
      </c>
      <c r="B8" s="1082"/>
    </row>
    <row r="9" spans="1:9" ht="30" x14ac:dyDescent="0.25">
      <c r="A9" s="375" t="s">
        <v>42</v>
      </c>
      <c r="B9" s="375" t="s">
        <v>7</v>
      </c>
      <c r="C9" s="376" t="s">
        <v>770</v>
      </c>
      <c r="D9" s="334"/>
    </row>
    <row r="10" spans="1:9" x14ac:dyDescent="0.25">
      <c r="A10" s="380" t="s">
        <v>285</v>
      </c>
      <c r="B10" s="18">
        <v>5200</v>
      </c>
      <c r="C10" s="381">
        <v>20000</v>
      </c>
    </row>
    <row r="11" spans="1:9" x14ac:dyDescent="0.25">
      <c r="A11" s="380" t="s">
        <v>286</v>
      </c>
      <c r="B11" s="18">
        <v>2200</v>
      </c>
      <c r="C11" s="381">
        <v>450000</v>
      </c>
      <c r="D11" s="421"/>
      <c r="H11" s="421"/>
      <c r="I11" s="421"/>
    </row>
    <row r="12" spans="1:9" x14ac:dyDescent="0.25">
      <c r="A12" s="380" t="s">
        <v>403</v>
      </c>
      <c r="B12" s="18">
        <v>2200</v>
      </c>
      <c r="C12" s="382">
        <v>10000</v>
      </c>
      <c r="D12" s="672"/>
      <c r="H12" s="421"/>
      <c r="I12" s="421"/>
    </row>
    <row r="13" spans="1:9" ht="30" x14ac:dyDescent="0.25">
      <c r="A13" s="371" t="s">
        <v>299</v>
      </c>
      <c r="B13" s="18">
        <v>2200</v>
      </c>
      <c r="C13" s="382">
        <v>704705</v>
      </c>
      <c r="D13" s="405"/>
      <c r="G13" s="892"/>
      <c r="H13" s="421"/>
      <c r="I13" s="421"/>
    </row>
    <row r="14" spans="1:9" ht="30" x14ac:dyDescent="0.25">
      <c r="A14" s="980" t="s">
        <v>772</v>
      </c>
      <c r="B14" s="18">
        <v>2200</v>
      </c>
      <c r="C14" s="382">
        <v>140083</v>
      </c>
      <c r="D14" s="405"/>
      <c r="G14" s="892"/>
      <c r="H14" s="421"/>
      <c r="I14" s="421"/>
    </row>
    <row r="15" spans="1:9" ht="30" x14ac:dyDescent="0.25">
      <c r="A15" s="980" t="s">
        <v>697</v>
      </c>
      <c r="B15" s="18">
        <v>5200</v>
      </c>
      <c r="C15" s="382">
        <f>50000+73980</f>
        <v>123980</v>
      </c>
      <c r="D15" s="405"/>
      <c r="G15" s="892"/>
      <c r="H15" s="421"/>
      <c r="I15" s="421"/>
    </row>
    <row r="16" spans="1:9" ht="30" x14ac:dyDescent="0.25">
      <c r="A16" s="980" t="s">
        <v>773</v>
      </c>
      <c r="B16" s="18">
        <v>2200</v>
      </c>
      <c r="C16" s="382">
        <v>93390</v>
      </c>
      <c r="D16" s="405"/>
      <c r="G16" s="892"/>
      <c r="H16" s="421"/>
      <c r="I16" s="421"/>
    </row>
    <row r="17" spans="1:9" ht="18" customHeight="1" x14ac:dyDescent="0.25">
      <c r="A17" s="980" t="s">
        <v>743</v>
      </c>
      <c r="B17" s="18">
        <v>5200</v>
      </c>
      <c r="C17" s="382">
        <v>70000</v>
      </c>
      <c r="D17" s="405"/>
      <c r="G17" s="892"/>
      <c r="H17" s="421"/>
      <c r="I17" s="421"/>
    </row>
    <row r="18" spans="1:9" x14ac:dyDescent="0.25">
      <c r="A18" s="981" t="s">
        <v>774</v>
      </c>
      <c r="B18" s="18">
        <v>2200</v>
      </c>
      <c r="C18" s="382">
        <v>236773</v>
      </c>
      <c r="D18" s="405"/>
      <c r="G18" s="892"/>
      <c r="H18" s="421"/>
      <c r="I18" s="421"/>
    </row>
    <row r="19" spans="1:9" x14ac:dyDescent="0.25">
      <c r="A19" s="981" t="s">
        <v>698</v>
      </c>
      <c r="B19" s="18">
        <v>2200</v>
      </c>
      <c r="C19" s="382">
        <v>171227</v>
      </c>
      <c r="D19" s="405"/>
      <c r="G19" s="892"/>
      <c r="H19" s="421"/>
      <c r="I19" s="421"/>
    </row>
    <row r="20" spans="1:9" x14ac:dyDescent="0.25">
      <c r="A20" s="981" t="s">
        <v>698</v>
      </c>
      <c r="B20" s="18">
        <v>5200</v>
      </c>
      <c r="C20" s="382">
        <v>219620</v>
      </c>
      <c r="D20" s="405"/>
      <c r="G20" s="892"/>
      <c r="H20" s="421"/>
      <c r="I20" s="421"/>
    </row>
    <row r="21" spans="1:9" ht="30" x14ac:dyDescent="0.25">
      <c r="A21" s="980" t="s">
        <v>775</v>
      </c>
      <c r="B21" s="18">
        <v>2200</v>
      </c>
      <c r="C21" s="382">
        <v>60743</v>
      </c>
      <c r="D21" s="405"/>
      <c r="G21" s="892"/>
      <c r="H21" s="421"/>
      <c r="I21" s="421"/>
    </row>
    <row r="22" spans="1:9" x14ac:dyDescent="0.25">
      <c r="A22" s="980" t="s">
        <v>699</v>
      </c>
      <c r="B22" s="18">
        <v>2200</v>
      </c>
      <c r="C22" s="382">
        <v>10105</v>
      </c>
      <c r="D22" s="405"/>
      <c r="G22" s="892"/>
      <c r="H22" s="421"/>
      <c r="I22" s="421"/>
    </row>
    <row r="23" spans="1:9" ht="30" x14ac:dyDescent="0.25">
      <c r="A23" s="980" t="s">
        <v>776</v>
      </c>
      <c r="B23" s="18">
        <v>2200</v>
      </c>
      <c r="C23" s="382">
        <v>62614</v>
      </c>
      <c r="D23" s="405"/>
      <c r="G23" s="892"/>
      <c r="H23" s="421"/>
      <c r="I23" s="421"/>
    </row>
    <row r="24" spans="1:9" x14ac:dyDescent="0.25">
      <c r="A24" s="980" t="s">
        <v>700</v>
      </c>
      <c r="B24" s="18">
        <v>2200</v>
      </c>
      <c r="C24" s="382">
        <v>8546</v>
      </c>
      <c r="D24" s="405"/>
      <c r="G24" s="892"/>
      <c r="H24" s="421"/>
      <c r="I24" s="421"/>
    </row>
    <row r="25" spans="1:9" x14ac:dyDescent="0.25">
      <c r="A25" s="981" t="s">
        <v>777</v>
      </c>
      <c r="B25" s="18">
        <v>2200</v>
      </c>
      <c r="C25" s="382">
        <v>362365</v>
      </c>
      <c r="D25" s="405"/>
      <c r="G25" s="892"/>
      <c r="H25" s="421"/>
      <c r="I25" s="421"/>
    </row>
    <row r="26" spans="1:9" x14ac:dyDescent="0.25">
      <c r="A26" s="981" t="s">
        <v>701</v>
      </c>
      <c r="B26" s="18">
        <v>5200</v>
      </c>
      <c r="C26" s="382">
        <v>116000</v>
      </c>
      <c r="D26" s="405"/>
      <c r="G26" s="892"/>
      <c r="H26" s="421"/>
      <c r="I26" s="421"/>
    </row>
    <row r="27" spans="1:9" ht="30" x14ac:dyDescent="0.25">
      <c r="A27" s="275" t="s">
        <v>402</v>
      </c>
      <c r="B27" s="18">
        <v>2200</v>
      </c>
      <c r="C27" s="383">
        <v>52273</v>
      </c>
      <c r="D27" s="405"/>
      <c r="H27" s="421"/>
      <c r="I27" s="421"/>
    </row>
    <row r="28" spans="1:9" x14ac:dyDescent="0.25">
      <c r="A28" s="384" t="s">
        <v>228</v>
      </c>
      <c r="B28" s="18">
        <v>2200</v>
      </c>
      <c r="C28" s="383">
        <v>6000</v>
      </c>
      <c r="D28" s="405"/>
      <c r="H28" s="421"/>
      <c r="I28" s="421"/>
    </row>
    <row r="29" spans="1:9" ht="30" x14ac:dyDescent="0.25">
      <c r="A29" s="380" t="s">
        <v>287</v>
      </c>
      <c r="B29" s="18">
        <v>2200</v>
      </c>
      <c r="C29" s="383">
        <v>11264</v>
      </c>
      <c r="D29" s="405"/>
      <c r="H29" s="421"/>
      <c r="I29" s="421"/>
    </row>
    <row r="30" spans="1:9" ht="30" x14ac:dyDescent="0.25">
      <c r="A30" s="371" t="s">
        <v>338</v>
      </c>
      <c r="B30" s="422">
        <v>2200</v>
      </c>
      <c r="C30" s="385">
        <v>5000</v>
      </c>
      <c r="D30" s="405"/>
      <c r="H30" s="421"/>
      <c r="I30" s="421"/>
    </row>
    <row r="31" spans="1:9" ht="30" customHeight="1" x14ac:dyDescent="0.25">
      <c r="A31" s="424" t="s">
        <v>323</v>
      </c>
      <c r="B31" s="245">
        <v>5200</v>
      </c>
      <c r="C31" s="386">
        <v>310</v>
      </c>
      <c r="D31" s="419"/>
      <c r="H31" s="419"/>
    </row>
    <row r="32" spans="1:9" x14ac:dyDescent="0.25">
      <c r="A32" s="88" t="s">
        <v>30</v>
      </c>
      <c r="B32" s="88"/>
      <c r="C32" s="388">
        <f>SUM(C10:C31)</f>
        <v>2934998</v>
      </c>
      <c r="D32" s="13"/>
      <c r="H32" s="420"/>
      <c r="I32" s="420"/>
    </row>
    <row r="33" spans="1:9" x14ac:dyDescent="0.25">
      <c r="A33" s="7"/>
      <c r="B33" s="7"/>
      <c r="C33" s="13"/>
      <c r="D33" s="13"/>
    </row>
    <row r="34" spans="1:9" ht="38.25" customHeight="1" x14ac:dyDescent="0.3">
      <c r="A34" s="1082" t="s">
        <v>387</v>
      </c>
      <c r="B34" s="1082"/>
      <c r="C34" s="1082"/>
      <c r="D34" s="964"/>
    </row>
    <row r="35" spans="1:9" ht="30" x14ac:dyDescent="0.25">
      <c r="A35" s="375" t="s">
        <v>42</v>
      </c>
      <c r="B35" s="375" t="s">
        <v>7</v>
      </c>
      <c r="C35" s="376" t="s">
        <v>392</v>
      </c>
      <c r="D35" s="800"/>
      <c r="H35" s="104"/>
      <c r="I35" s="453"/>
    </row>
    <row r="36" spans="1:9" x14ac:dyDescent="0.25">
      <c r="A36" s="377" t="s">
        <v>289</v>
      </c>
      <c r="B36" s="216">
        <v>2300</v>
      </c>
      <c r="C36" s="378">
        <v>300</v>
      </c>
      <c r="D36" s="409"/>
    </row>
    <row r="37" spans="1:9" ht="16.5" customHeight="1" x14ac:dyDescent="0.25">
      <c r="A37" s="275" t="s">
        <v>290</v>
      </c>
      <c r="B37" s="216">
        <v>2200</v>
      </c>
      <c r="C37" s="378">
        <v>7513</v>
      </c>
      <c r="D37" s="409"/>
    </row>
    <row r="38" spans="1:9" ht="16.5" customHeight="1" x14ac:dyDescent="0.25">
      <c r="A38" s="88" t="s">
        <v>30</v>
      </c>
      <c r="B38" s="216"/>
      <c r="C38" s="389">
        <f>SUM(C36:C37)</f>
        <v>7813</v>
      </c>
      <c r="D38" s="15"/>
    </row>
    <row r="39" spans="1:9" x14ac:dyDescent="0.25">
      <c r="A39" s="8"/>
      <c r="B39" s="8"/>
    </row>
    <row r="40" spans="1:9" ht="36.75" customHeight="1" x14ac:dyDescent="0.3">
      <c r="A40" s="1082" t="s">
        <v>388</v>
      </c>
      <c r="B40" s="1082"/>
      <c r="C40" s="1082"/>
      <c r="D40" s="964"/>
    </row>
    <row r="41" spans="1:9" ht="30" x14ac:dyDescent="0.25">
      <c r="A41" s="375" t="s">
        <v>42</v>
      </c>
      <c r="B41" s="375" t="s">
        <v>7</v>
      </c>
      <c r="C41" s="376" t="s">
        <v>401</v>
      </c>
      <c r="D41" s="683"/>
      <c r="H41" s="104"/>
      <c r="I41" s="453"/>
    </row>
    <row r="42" spans="1:9" x14ac:dyDescent="0.25">
      <c r="A42" s="390" t="s">
        <v>391</v>
      </c>
      <c r="B42" s="216">
        <v>2200</v>
      </c>
      <c r="C42" s="378">
        <v>3637</v>
      </c>
      <c r="D42" s="409"/>
    </row>
    <row r="43" spans="1:9" ht="30" x14ac:dyDescent="0.25">
      <c r="A43" s="391" t="s">
        <v>291</v>
      </c>
      <c r="B43" s="216">
        <v>2200</v>
      </c>
      <c r="C43" s="378">
        <v>40000</v>
      </c>
      <c r="D43" s="669"/>
    </row>
    <row r="44" spans="1:9" ht="45" x14ac:dyDescent="0.25">
      <c r="A44" s="391" t="s">
        <v>778</v>
      </c>
      <c r="B44" s="216">
        <v>2200</v>
      </c>
      <c r="C44" s="378">
        <v>23000</v>
      </c>
      <c r="D44" s="669"/>
    </row>
    <row r="45" spans="1:9" ht="30" x14ac:dyDescent="0.25">
      <c r="A45" s="439" t="s">
        <v>779</v>
      </c>
      <c r="B45" s="216">
        <v>2200</v>
      </c>
      <c r="C45" s="378">
        <v>500</v>
      </c>
      <c r="D45" s="409"/>
    </row>
    <row r="46" spans="1:9" ht="30" x14ac:dyDescent="0.25">
      <c r="A46" s="390" t="s">
        <v>292</v>
      </c>
      <c r="B46" s="216">
        <v>2200</v>
      </c>
      <c r="C46" s="378">
        <v>800</v>
      </c>
      <c r="D46" s="409"/>
    </row>
    <row r="47" spans="1:9" x14ac:dyDescent="0.25">
      <c r="A47" s="440" t="s">
        <v>780</v>
      </c>
      <c r="B47" s="216">
        <v>2200</v>
      </c>
      <c r="C47" s="378">
        <v>24000</v>
      </c>
      <c r="D47" s="409"/>
    </row>
    <row r="48" spans="1:9" x14ac:dyDescent="0.25">
      <c r="A48" s="440" t="s">
        <v>781</v>
      </c>
      <c r="B48" s="216">
        <v>2200</v>
      </c>
      <c r="C48" s="378">
        <v>6700</v>
      </c>
      <c r="D48" s="409"/>
    </row>
    <row r="49" spans="1:4" x14ac:dyDescent="0.25">
      <c r="A49" s="88" t="s">
        <v>30</v>
      </c>
      <c r="B49" s="216"/>
      <c r="C49" s="389">
        <f>SUM(C42:C48)</f>
        <v>98637</v>
      </c>
      <c r="D49" s="15"/>
    </row>
    <row r="50" spans="1:4" x14ac:dyDescent="0.25">
      <c r="A50" s="7"/>
      <c r="B50" s="51"/>
      <c r="C50" s="15"/>
      <c r="D50" s="15"/>
    </row>
    <row r="51" spans="1:4" ht="38.25" customHeight="1" x14ac:dyDescent="0.3">
      <c r="A51" s="1082" t="s">
        <v>732</v>
      </c>
      <c r="B51" s="1082"/>
      <c r="C51" s="1082"/>
    </row>
    <row r="52" spans="1:4" ht="30" x14ac:dyDescent="0.25">
      <c r="A52" s="375" t="s">
        <v>42</v>
      </c>
      <c r="B52" s="375" t="s">
        <v>7</v>
      </c>
      <c r="C52" s="376" t="s">
        <v>392</v>
      </c>
    </row>
    <row r="53" spans="1:4" x14ac:dyDescent="0.25">
      <c r="A53" s="370" t="s">
        <v>441</v>
      </c>
      <c r="B53" s="216"/>
      <c r="C53" s="946"/>
    </row>
    <row r="54" spans="1:4" x14ac:dyDescent="0.25">
      <c r="A54" s="377" t="s">
        <v>691</v>
      </c>
      <c r="B54" s="216">
        <v>2200</v>
      </c>
      <c r="C54" s="946">
        <v>22404</v>
      </c>
    </row>
    <row r="55" spans="1:4" x14ac:dyDescent="0.25">
      <c r="A55" s="377" t="s">
        <v>782</v>
      </c>
      <c r="B55" s="216">
        <v>5200</v>
      </c>
      <c r="C55" s="946">
        <v>65000</v>
      </c>
    </row>
    <row r="56" spans="1:4" x14ac:dyDescent="0.25">
      <c r="A56" s="275" t="s">
        <v>690</v>
      </c>
      <c r="B56" s="216">
        <v>6400</v>
      </c>
      <c r="C56" s="378">
        <v>30000</v>
      </c>
    </row>
    <row r="57" spans="1:4" x14ac:dyDescent="0.25">
      <c r="A57" s="979" t="s">
        <v>384</v>
      </c>
      <c r="B57" s="216"/>
      <c r="C57" s="378"/>
    </row>
    <row r="58" spans="1:4" x14ac:dyDescent="0.25">
      <c r="A58" s="275" t="s">
        <v>783</v>
      </c>
      <c r="B58" s="216">
        <v>2200</v>
      </c>
      <c r="C58" s="378">
        <v>6000</v>
      </c>
    </row>
    <row r="59" spans="1:4" ht="45" x14ac:dyDescent="0.25">
      <c r="A59" s="275" t="s">
        <v>692</v>
      </c>
      <c r="B59" s="216">
        <v>2200</v>
      </c>
      <c r="C59" s="378">
        <v>1400</v>
      </c>
    </row>
    <row r="60" spans="1:4" x14ac:dyDescent="0.25">
      <c r="A60" s="977" t="s">
        <v>784</v>
      </c>
      <c r="B60" s="216">
        <v>2200</v>
      </c>
      <c r="C60" s="978">
        <v>8180</v>
      </c>
    </row>
    <row r="61" spans="1:4" x14ac:dyDescent="0.25">
      <c r="A61" s="977" t="s">
        <v>693</v>
      </c>
      <c r="B61" s="216">
        <v>2200</v>
      </c>
      <c r="C61" s="978">
        <v>650</v>
      </c>
    </row>
    <row r="62" spans="1:4" x14ac:dyDescent="0.25">
      <c r="A62" s="977" t="s">
        <v>694</v>
      </c>
      <c r="B62" s="216">
        <v>2200</v>
      </c>
      <c r="C62" s="978">
        <v>15106</v>
      </c>
    </row>
    <row r="63" spans="1:4" x14ac:dyDescent="0.25">
      <c r="A63" s="88" t="s">
        <v>30</v>
      </c>
      <c r="B63" s="216"/>
      <c r="C63" s="389">
        <f>SUM(C53:C62)</f>
        <v>148740</v>
      </c>
    </row>
    <row r="65" spans="1:9" ht="36.75" customHeight="1" x14ac:dyDescent="0.3">
      <c r="A65" s="1082" t="s">
        <v>389</v>
      </c>
      <c r="B65" s="1082"/>
      <c r="C65" s="1082"/>
      <c r="D65" s="964"/>
    </row>
    <row r="66" spans="1:9" ht="29.25" x14ac:dyDescent="0.25">
      <c r="A66" s="375" t="s">
        <v>42</v>
      </c>
      <c r="B66" s="375" t="s">
        <v>7</v>
      </c>
      <c r="C66" s="684" t="s">
        <v>392</v>
      </c>
      <c r="D66" s="274"/>
      <c r="H66" s="104"/>
      <c r="I66" s="453"/>
    </row>
    <row r="67" spans="1:9" x14ac:dyDescent="0.25">
      <c r="A67" s="390" t="s">
        <v>390</v>
      </c>
      <c r="B67" s="216">
        <v>2200</v>
      </c>
      <c r="C67" s="378">
        <v>7379</v>
      </c>
      <c r="D67" s="409"/>
    </row>
    <row r="68" spans="1:9" ht="30" x14ac:dyDescent="0.25">
      <c r="A68" s="372" t="s">
        <v>293</v>
      </c>
      <c r="B68" s="216">
        <v>5200</v>
      </c>
      <c r="C68" s="378">
        <v>440</v>
      </c>
      <c r="D68" s="409"/>
    </row>
    <row r="69" spans="1:9" x14ac:dyDescent="0.25">
      <c r="A69" s="372" t="s">
        <v>294</v>
      </c>
      <c r="B69" s="216">
        <v>2200</v>
      </c>
      <c r="C69" s="378">
        <v>3598</v>
      </c>
      <c r="D69" s="409"/>
    </row>
    <row r="70" spans="1:9" ht="30" x14ac:dyDescent="0.25">
      <c r="A70" s="392" t="s">
        <v>295</v>
      </c>
      <c r="B70" s="216">
        <v>2200</v>
      </c>
      <c r="C70" s="378">
        <v>372</v>
      </c>
      <c r="D70" s="409"/>
    </row>
    <row r="71" spans="1:9" ht="30" x14ac:dyDescent="0.25">
      <c r="A71" s="392" t="s">
        <v>295</v>
      </c>
      <c r="B71" s="216">
        <v>1200</v>
      </c>
      <c r="C71" s="378">
        <v>88</v>
      </c>
      <c r="D71" s="409"/>
    </row>
    <row r="72" spans="1:9" ht="31.5" x14ac:dyDescent="0.25">
      <c r="A72" s="223" t="s">
        <v>785</v>
      </c>
      <c r="B72" s="216">
        <v>2200</v>
      </c>
      <c r="C72" s="378">
        <v>1730</v>
      </c>
      <c r="D72" s="409"/>
    </row>
    <row r="73" spans="1:9" ht="31.5" x14ac:dyDescent="0.25">
      <c r="A73" s="223" t="s">
        <v>786</v>
      </c>
      <c r="B73" s="216">
        <v>1100</v>
      </c>
      <c r="C73" s="378">
        <v>358</v>
      </c>
      <c r="D73" s="409"/>
    </row>
    <row r="74" spans="1:9" ht="31.5" x14ac:dyDescent="0.25">
      <c r="A74" s="223" t="s">
        <v>786</v>
      </c>
      <c r="B74" s="216">
        <v>1200</v>
      </c>
      <c r="C74" s="378">
        <v>84</v>
      </c>
      <c r="D74" s="409"/>
    </row>
    <row r="75" spans="1:9" ht="14.25" customHeight="1" x14ac:dyDescent="0.25">
      <c r="A75" s="372" t="s">
        <v>296</v>
      </c>
      <c r="B75" s="216">
        <v>2200</v>
      </c>
      <c r="C75" s="378">
        <v>5000</v>
      </c>
      <c r="D75" s="409"/>
    </row>
    <row r="76" spans="1:9" x14ac:dyDescent="0.25">
      <c r="A76" s="372" t="s">
        <v>297</v>
      </c>
      <c r="B76" s="216">
        <v>2200</v>
      </c>
      <c r="C76" s="378">
        <v>6000</v>
      </c>
      <c r="D76" s="409"/>
    </row>
    <row r="77" spans="1:9" ht="30" x14ac:dyDescent="0.25">
      <c r="A77" s="393" t="s">
        <v>298</v>
      </c>
      <c r="B77" s="216">
        <v>2200</v>
      </c>
      <c r="C77" s="378">
        <v>456</v>
      </c>
      <c r="D77" s="409"/>
    </row>
    <row r="78" spans="1:9" ht="30" x14ac:dyDescent="0.25">
      <c r="A78" s="275" t="s">
        <v>322</v>
      </c>
      <c r="B78" s="216">
        <v>2200</v>
      </c>
      <c r="C78" s="378">
        <v>576</v>
      </c>
      <c r="D78" s="409"/>
    </row>
    <row r="79" spans="1:9" x14ac:dyDescent="0.25">
      <c r="A79" s="18" t="s">
        <v>787</v>
      </c>
      <c r="B79" s="216">
        <v>2300</v>
      </c>
      <c r="C79" s="378">
        <v>1210</v>
      </c>
      <c r="D79" s="409"/>
    </row>
    <row r="80" spans="1:9" ht="15.75" x14ac:dyDescent="0.25">
      <c r="A80" s="423" t="s">
        <v>788</v>
      </c>
      <c r="B80" s="216">
        <v>5200</v>
      </c>
      <c r="C80" s="378">
        <v>11020</v>
      </c>
      <c r="D80" s="409"/>
    </row>
    <row r="81" spans="1:7" x14ac:dyDescent="0.25">
      <c r="A81" s="658"/>
      <c r="B81" s="216"/>
      <c r="C81" s="378"/>
      <c r="D81" s="409"/>
    </row>
    <row r="82" spans="1:7" x14ac:dyDescent="0.25">
      <c r="A82" s="88" t="s">
        <v>30</v>
      </c>
      <c r="B82" s="216"/>
      <c r="C82" s="389">
        <f>SUM(C67:C81)</f>
        <v>38311</v>
      </c>
      <c r="D82" s="420"/>
      <c r="G82" s="334"/>
    </row>
    <row r="83" spans="1:7" x14ac:dyDescent="0.25">
      <c r="D83" s="420"/>
    </row>
    <row r="84" spans="1:7" x14ac:dyDescent="0.25">
      <c r="A84" s="8" t="s">
        <v>129</v>
      </c>
      <c r="B84" s="8"/>
      <c r="C84" s="1" t="s">
        <v>38</v>
      </c>
      <c r="D84" s="6"/>
      <c r="E84" s="6"/>
      <c r="F84" s="6"/>
    </row>
  </sheetData>
  <mergeCells count="6">
    <mergeCell ref="A2:B2"/>
    <mergeCell ref="A8:B8"/>
    <mergeCell ref="A40:C40"/>
    <mergeCell ref="A65:C65"/>
    <mergeCell ref="A34:C34"/>
    <mergeCell ref="A51:C51"/>
  </mergeCells>
  <phoneticPr fontId="0" type="noConversion"/>
  <pageMargins left="0.75" right="0.75" top="1" bottom="1" header="0.5" footer="0.5"/>
  <pageSetup paperSize="9" scale="8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52"/>
  <sheetViews>
    <sheetView workbookViewId="0">
      <selection activeCell="AO18" sqref="AO18"/>
    </sheetView>
  </sheetViews>
  <sheetFormatPr defaultRowHeight="12.75" outlineLevelRow="1" x14ac:dyDescent="0.2"/>
  <cols>
    <col min="1" max="1" width="6.28515625" style="490" customWidth="1"/>
    <col min="2" max="2" width="5.85546875" style="490" customWidth="1"/>
    <col min="3" max="3" width="27.28515625" style="515" customWidth="1"/>
    <col min="4" max="4" width="9.28515625" style="490" customWidth="1"/>
    <col min="5" max="5" width="9.42578125" style="490" customWidth="1"/>
    <col min="6" max="7" width="9.7109375" style="490" customWidth="1"/>
    <col min="8" max="8" width="10" style="490" customWidth="1"/>
    <col min="9" max="9" width="9.42578125" style="490" customWidth="1"/>
    <col min="10" max="10" width="9.85546875" style="490" customWidth="1"/>
    <col min="11" max="11" width="9.28515625" style="490" customWidth="1"/>
    <col min="12" max="12" width="10.85546875" style="490" customWidth="1"/>
    <col min="13" max="22" width="11.28515625" style="490" customWidth="1"/>
    <col min="23" max="23" width="10.140625" style="490" customWidth="1"/>
    <col min="24" max="24" width="8.85546875" style="490" customWidth="1"/>
    <col min="25" max="26" width="9.7109375" style="490" customWidth="1"/>
    <col min="27" max="27" width="10.42578125" style="490" customWidth="1"/>
    <col min="28" max="28" width="9.28515625" style="490" customWidth="1"/>
    <col min="29" max="29" width="9.85546875" style="490" customWidth="1"/>
    <col min="30" max="30" width="9.7109375" style="490" customWidth="1"/>
    <col min="31" max="31" width="9.5703125" style="490" customWidth="1"/>
    <col min="32" max="34" width="11" style="490" customWidth="1"/>
    <col min="35" max="35" width="11.28515625" style="490" customWidth="1"/>
    <col min="36" max="36" width="9.42578125" style="490" customWidth="1"/>
    <col min="37" max="38" width="9.140625" style="490" customWidth="1"/>
    <col min="39" max="16384" width="9.140625" style="490"/>
  </cols>
  <sheetData>
    <row r="1" spans="1:39" x14ac:dyDescent="0.2">
      <c r="C1" s="1063" t="s">
        <v>361</v>
      </c>
    </row>
    <row r="2" spans="1:39" s="485" customFormat="1" ht="12.6" customHeight="1" x14ac:dyDescent="0.2">
      <c r="C2" s="666" t="s">
        <v>0</v>
      </c>
      <c r="AJ2" s="485" t="s">
        <v>246</v>
      </c>
    </row>
    <row r="3" spans="1:39" s="473" customFormat="1" ht="12.6" customHeight="1" x14ac:dyDescent="0.2"/>
    <row r="4" spans="1:39" ht="12.6" customHeight="1" x14ac:dyDescent="0.25">
      <c r="A4" s="486" t="s">
        <v>343</v>
      </c>
      <c r="B4" s="486"/>
      <c r="C4" s="486"/>
      <c r="D4" s="486"/>
      <c r="E4" s="487"/>
      <c r="F4" s="487"/>
      <c r="G4" s="457"/>
      <c r="H4" s="487"/>
      <c r="I4" s="487"/>
      <c r="J4" s="487"/>
      <c r="K4" s="844"/>
      <c r="L4" s="844"/>
      <c r="M4" s="488"/>
      <c r="N4" s="488"/>
      <c r="O4" s="488"/>
      <c r="P4" s="488"/>
      <c r="Q4" s="488"/>
      <c r="R4" s="488"/>
      <c r="S4" s="488"/>
      <c r="T4" s="488"/>
      <c r="U4" s="488"/>
      <c r="V4" s="488"/>
      <c r="W4" s="488"/>
      <c r="X4" s="488"/>
      <c r="Y4" s="488"/>
      <c r="Z4" s="488"/>
      <c r="AA4" s="488"/>
      <c r="AB4" s="488"/>
      <c r="AC4" s="488"/>
      <c r="AD4" s="488"/>
      <c r="AE4" s="488"/>
      <c r="AF4" s="488"/>
      <c r="AG4" s="488"/>
      <c r="AH4" s="488"/>
      <c r="AI4" s="488"/>
      <c r="AJ4" s="488"/>
      <c r="AK4" s="488"/>
      <c r="AL4" s="489"/>
    </row>
    <row r="5" spans="1:39" ht="12.6" customHeight="1" thickBot="1" x14ac:dyDescent="0.25">
      <c r="A5" s="486" t="s">
        <v>381</v>
      </c>
      <c r="B5" s="486"/>
      <c r="C5" s="490"/>
      <c r="E5" s="491"/>
      <c r="F5" s="491"/>
      <c r="G5" s="491"/>
      <c r="H5" s="491"/>
      <c r="I5" s="491"/>
      <c r="J5" s="491"/>
      <c r="K5" s="491"/>
      <c r="L5" s="491"/>
      <c r="M5" s="491"/>
      <c r="N5" s="491"/>
      <c r="O5" s="491"/>
      <c r="P5" s="491"/>
      <c r="Q5" s="491"/>
      <c r="R5" s="491"/>
      <c r="S5" s="491"/>
      <c r="T5" s="491"/>
      <c r="U5" s="491"/>
      <c r="V5" s="491"/>
      <c r="W5" s="491"/>
      <c r="X5" s="491"/>
      <c r="Y5" s="491"/>
      <c r="Z5" s="491"/>
      <c r="AA5" s="491"/>
      <c r="AB5" s="491"/>
      <c r="AC5" s="491"/>
      <c r="AD5" s="491"/>
      <c r="AE5" s="491"/>
      <c r="AF5" s="491"/>
      <c r="AG5" s="491"/>
      <c r="AH5" s="491"/>
      <c r="AI5" s="491"/>
      <c r="AJ5" s="491"/>
      <c r="AK5" s="491"/>
      <c r="AL5" s="491"/>
    </row>
    <row r="6" spans="1:39" ht="13.5" customHeight="1" thickBot="1" x14ac:dyDescent="0.3">
      <c r="A6" s="492"/>
      <c r="B6" s="493"/>
      <c r="C6" s="494" t="s">
        <v>159</v>
      </c>
      <c r="D6" s="563"/>
      <c r="E6" s="646" t="s">
        <v>206</v>
      </c>
      <c r="F6" s="647" t="s">
        <v>247</v>
      </c>
      <c r="G6" s="648" t="s">
        <v>248</v>
      </c>
      <c r="H6" s="970" t="s">
        <v>202</v>
      </c>
      <c r="I6" s="971" t="s">
        <v>464</v>
      </c>
      <c r="J6" s="972" t="s">
        <v>553</v>
      </c>
      <c r="K6" s="943" t="s">
        <v>249</v>
      </c>
      <c r="L6" s="647" t="s">
        <v>508</v>
      </c>
      <c r="M6" s="647" t="s">
        <v>490</v>
      </c>
      <c r="N6" s="647" t="s">
        <v>491</v>
      </c>
      <c r="O6" s="647" t="s">
        <v>493</v>
      </c>
      <c r="P6" s="647" t="s">
        <v>495</v>
      </c>
      <c r="Q6" s="647" t="s">
        <v>497</v>
      </c>
      <c r="R6" s="647" t="s">
        <v>499</v>
      </c>
      <c r="S6" s="647" t="s">
        <v>501</v>
      </c>
      <c r="T6" s="647" t="s">
        <v>503</v>
      </c>
      <c r="U6" s="647" t="s">
        <v>505</v>
      </c>
      <c r="V6" s="647" t="s">
        <v>506</v>
      </c>
      <c r="W6" s="649" t="s">
        <v>269</v>
      </c>
      <c r="X6" s="647" t="s">
        <v>207</v>
      </c>
      <c r="Y6" s="647" t="s">
        <v>307</v>
      </c>
      <c r="Z6" s="647" t="s">
        <v>308</v>
      </c>
      <c r="AA6" s="647" t="s">
        <v>309</v>
      </c>
      <c r="AB6" s="647" t="s">
        <v>310</v>
      </c>
      <c r="AC6" s="647" t="s">
        <v>311</v>
      </c>
      <c r="AD6" s="647" t="s">
        <v>312</v>
      </c>
      <c r="AE6" s="647" t="s">
        <v>344</v>
      </c>
      <c r="AF6" s="647" t="s">
        <v>345</v>
      </c>
      <c r="AG6" s="647" t="s">
        <v>380</v>
      </c>
      <c r="AH6" s="647" t="s">
        <v>583</v>
      </c>
      <c r="AI6" s="647" t="s">
        <v>486</v>
      </c>
      <c r="AJ6" s="647" t="s">
        <v>201</v>
      </c>
      <c r="AK6" s="648" t="s">
        <v>160</v>
      </c>
      <c r="AL6" s="648" t="s">
        <v>465</v>
      </c>
      <c r="AM6" s="845"/>
    </row>
    <row r="7" spans="1:39" s="495" customFormat="1" ht="138" customHeight="1" thickBot="1" x14ac:dyDescent="0.25">
      <c r="A7" s="556"/>
      <c r="B7" s="557"/>
      <c r="C7" s="558"/>
      <c r="D7" s="564" t="s">
        <v>113</v>
      </c>
      <c r="E7" s="564" t="s">
        <v>346</v>
      </c>
      <c r="F7" s="846" t="s">
        <v>347</v>
      </c>
      <c r="G7" s="960" t="s">
        <v>466</v>
      </c>
      <c r="H7" s="959" t="s">
        <v>370</v>
      </c>
      <c r="I7" s="564" t="s">
        <v>467</v>
      </c>
      <c r="J7" s="564" t="s">
        <v>468</v>
      </c>
      <c r="K7" s="564" t="s">
        <v>469</v>
      </c>
      <c r="L7" s="564" t="s">
        <v>507</v>
      </c>
      <c r="M7" s="564" t="s">
        <v>484</v>
      </c>
      <c r="N7" s="564" t="s">
        <v>492</v>
      </c>
      <c r="O7" s="564" t="s">
        <v>494</v>
      </c>
      <c r="P7" s="564" t="s">
        <v>496</v>
      </c>
      <c r="Q7" s="564" t="s">
        <v>498</v>
      </c>
      <c r="R7" s="564" t="s">
        <v>500</v>
      </c>
      <c r="S7" s="564" t="s">
        <v>502</v>
      </c>
      <c r="T7" s="564" t="s">
        <v>504</v>
      </c>
      <c r="U7" s="564" t="s">
        <v>472</v>
      </c>
      <c r="V7" s="564" t="s">
        <v>473</v>
      </c>
      <c r="W7" s="559" t="s">
        <v>270</v>
      </c>
      <c r="X7" s="564" t="s">
        <v>348</v>
      </c>
      <c r="Y7" s="564" t="s">
        <v>313</v>
      </c>
      <c r="Z7" s="564" t="s">
        <v>314</v>
      </c>
      <c r="AA7" s="564" t="s">
        <v>349</v>
      </c>
      <c r="AB7" s="564" t="s">
        <v>350</v>
      </c>
      <c r="AC7" s="564" t="s">
        <v>351</v>
      </c>
      <c r="AD7" s="564" t="s">
        <v>352</v>
      </c>
      <c r="AE7" s="564" t="s">
        <v>470</v>
      </c>
      <c r="AF7" s="564" t="s">
        <v>353</v>
      </c>
      <c r="AG7" s="564" t="s">
        <v>471</v>
      </c>
      <c r="AH7" s="557" t="s">
        <v>584</v>
      </c>
      <c r="AI7" s="564" t="s">
        <v>485</v>
      </c>
      <c r="AJ7" s="847" t="s">
        <v>250</v>
      </c>
      <c r="AK7" s="848" t="s">
        <v>251</v>
      </c>
      <c r="AL7" s="848" t="s">
        <v>474</v>
      </c>
      <c r="AM7" s="849"/>
    </row>
    <row r="8" spans="1:39" ht="21.75" customHeight="1" thickBot="1" x14ac:dyDescent="0.25">
      <c r="A8" s="582" t="s">
        <v>7</v>
      </c>
      <c r="B8" s="520" t="s">
        <v>7</v>
      </c>
      <c r="C8" s="585" t="s">
        <v>8</v>
      </c>
      <c r="D8" s="592" t="s">
        <v>30</v>
      </c>
      <c r="E8" s="850" t="s">
        <v>211</v>
      </c>
      <c r="F8" s="851" t="s">
        <v>211</v>
      </c>
      <c r="G8" s="851" t="s">
        <v>211</v>
      </c>
      <c r="H8" s="851" t="s">
        <v>211</v>
      </c>
      <c r="I8" s="851" t="s">
        <v>211</v>
      </c>
      <c r="J8" s="851" t="s">
        <v>211</v>
      </c>
      <c r="K8" s="851" t="s">
        <v>211</v>
      </c>
      <c r="L8" s="851" t="s">
        <v>211</v>
      </c>
      <c r="M8" s="851" t="s">
        <v>211</v>
      </c>
      <c r="N8" s="851" t="s">
        <v>211</v>
      </c>
      <c r="O8" s="851" t="s">
        <v>211</v>
      </c>
      <c r="P8" s="851" t="s">
        <v>211</v>
      </c>
      <c r="Q8" s="851" t="s">
        <v>211</v>
      </c>
      <c r="R8" s="851" t="s">
        <v>211</v>
      </c>
      <c r="S8" s="851" t="s">
        <v>211</v>
      </c>
      <c r="T8" s="851" t="s">
        <v>211</v>
      </c>
      <c r="U8" s="851" t="s">
        <v>211</v>
      </c>
      <c r="V8" s="851" t="s">
        <v>211</v>
      </c>
      <c r="W8" s="851" t="s">
        <v>211</v>
      </c>
      <c r="X8" s="851" t="s">
        <v>211</v>
      </c>
      <c r="Y8" s="851" t="s">
        <v>211</v>
      </c>
      <c r="Z8" s="851" t="s">
        <v>211</v>
      </c>
      <c r="AA8" s="851" t="s">
        <v>211</v>
      </c>
      <c r="AB8" s="851" t="s">
        <v>211</v>
      </c>
      <c r="AC8" s="851" t="s">
        <v>211</v>
      </c>
      <c r="AD8" s="851" t="s">
        <v>211</v>
      </c>
      <c r="AE8" s="851" t="s">
        <v>211</v>
      </c>
      <c r="AF8" s="851" t="s">
        <v>211</v>
      </c>
      <c r="AG8" s="851" t="s">
        <v>211</v>
      </c>
      <c r="AH8" s="851" t="s">
        <v>211</v>
      </c>
      <c r="AI8" s="851" t="s">
        <v>211</v>
      </c>
      <c r="AJ8" s="851" t="s">
        <v>211</v>
      </c>
      <c r="AK8" s="851" t="s">
        <v>211</v>
      </c>
      <c r="AL8" s="852" t="s">
        <v>211</v>
      </c>
      <c r="AM8" s="845"/>
    </row>
    <row r="9" spans="1:39" s="496" customFormat="1" ht="16.5" customHeight="1" x14ac:dyDescent="0.2">
      <c r="A9" s="497"/>
      <c r="B9" s="498"/>
      <c r="C9" s="586" t="s">
        <v>178</v>
      </c>
      <c r="D9" s="593">
        <f>SUM(E9:AL9)</f>
        <v>476292.57</v>
      </c>
      <c r="E9" s="853">
        <v>37819</v>
      </c>
      <c r="F9" s="854">
        <v>78001</v>
      </c>
      <c r="G9" s="854"/>
      <c r="H9" s="854"/>
      <c r="I9" s="854"/>
      <c r="J9" s="854"/>
      <c r="K9" s="854"/>
      <c r="L9" s="854">
        <v>1556</v>
      </c>
      <c r="M9" s="854">
        <v>9574</v>
      </c>
      <c r="N9" s="854">
        <v>17165.57</v>
      </c>
      <c r="O9" s="854">
        <v>1395</v>
      </c>
      <c r="P9" s="854">
        <v>22080</v>
      </c>
      <c r="Q9" s="854">
        <v>16393</v>
      </c>
      <c r="R9" s="854">
        <v>16484</v>
      </c>
      <c r="S9" s="854">
        <v>18967</v>
      </c>
      <c r="T9" s="854">
        <v>8755</v>
      </c>
      <c r="U9" s="854"/>
      <c r="V9" s="854"/>
      <c r="W9" s="854"/>
      <c r="X9" s="854">
        <v>46420</v>
      </c>
      <c r="Y9" s="854">
        <v>8924</v>
      </c>
      <c r="Z9" s="854">
        <v>21664</v>
      </c>
      <c r="AA9" s="854">
        <v>22954</v>
      </c>
      <c r="AB9" s="854">
        <v>15667</v>
      </c>
      <c r="AC9" s="854">
        <v>21227</v>
      </c>
      <c r="AD9" s="854">
        <v>16081</v>
      </c>
      <c r="AE9" s="854">
        <v>12876</v>
      </c>
      <c r="AF9" s="854">
        <v>19259</v>
      </c>
      <c r="AG9" s="854">
        <v>621</v>
      </c>
      <c r="AH9" s="854">
        <v>523</v>
      </c>
      <c r="AI9" s="854">
        <v>6237</v>
      </c>
      <c r="AJ9" s="854">
        <v>11423</v>
      </c>
      <c r="AK9" s="854">
        <v>44227</v>
      </c>
      <c r="AL9" s="855"/>
      <c r="AM9" s="856"/>
    </row>
    <row r="10" spans="1:39" ht="16.5" customHeight="1" x14ac:dyDescent="0.2">
      <c r="A10" s="519"/>
      <c r="B10" s="499"/>
      <c r="C10" s="553" t="s">
        <v>252</v>
      </c>
      <c r="D10" s="594">
        <f>SUM(E10:AL10)</f>
        <v>55000</v>
      </c>
      <c r="E10" s="857"/>
      <c r="F10" s="555"/>
      <c r="G10" s="555"/>
      <c r="H10" s="555">
        <v>20000</v>
      </c>
      <c r="I10" s="555">
        <v>20000</v>
      </c>
      <c r="J10" s="555">
        <v>5000</v>
      </c>
      <c r="K10" s="555">
        <v>10000</v>
      </c>
      <c r="L10" s="555"/>
      <c r="M10" s="555"/>
      <c r="N10" s="555"/>
      <c r="O10" s="555"/>
      <c r="P10" s="555"/>
      <c r="Q10" s="555"/>
      <c r="R10" s="555"/>
      <c r="S10" s="555"/>
      <c r="T10" s="555"/>
      <c r="U10" s="555"/>
      <c r="V10" s="555"/>
      <c r="W10" s="555"/>
      <c r="X10" s="555"/>
      <c r="Y10" s="555"/>
      <c r="Z10" s="555"/>
      <c r="AA10" s="555"/>
      <c r="AB10" s="555"/>
      <c r="AC10" s="555"/>
      <c r="AD10" s="555"/>
      <c r="AE10" s="555"/>
      <c r="AF10" s="555"/>
      <c r="AG10" s="555"/>
      <c r="AH10" s="555"/>
      <c r="AI10" s="555"/>
      <c r="AJ10" s="555"/>
      <c r="AK10" s="555"/>
      <c r="AL10" s="858"/>
      <c r="AM10" s="845"/>
    </row>
    <row r="11" spans="1:39" s="496" customFormat="1" ht="14.25" customHeight="1" x14ac:dyDescent="0.2">
      <c r="A11" s="521"/>
      <c r="B11" s="522"/>
      <c r="C11" s="553" t="s">
        <v>62</v>
      </c>
      <c r="D11" s="594">
        <f>D12+D14+D15+D13</f>
        <v>955614</v>
      </c>
      <c r="E11" s="857">
        <f>E12+E14+E15+E13</f>
        <v>0</v>
      </c>
      <c r="F11" s="857">
        <f t="shared" ref="F11:AL11" si="0">F12+F14+F15+F13</f>
        <v>314999</v>
      </c>
      <c r="G11" s="857">
        <f t="shared" si="0"/>
        <v>67380</v>
      </c>
      <c r="H11" s="857">
        <f t="shared" si="0"/>
        <v>0</v>
      </c>
      <c r="I11" s="857">
        <f t="shared" si="0"/>
        <v>0</v>
      </c>
      <c r="J11" s="857">
        <f t="shared" si="0"/>
        <v>0</v>
      </c>
      <c r="K11" s="857">
        <f t="shared" si="0"/>
        <v>0</v>
      </c>
      <c r="L11" s="857">
        <f t="shared" si="0"/>
        <v>714</v>
      </c>
      <c r="M11" s="857">
        <f t="shared" si="0"/>
        <v>14748</v>
      </c>
      <c r="N11" s="857">
        <f t="shared" si="0"/>
        <v>0</v>
      </c>
      <c r="O11" s="857">
        <f t="shared" si="0"/>
        <v>5902</v>
      </c>
      <c r="P11" s="857">
        <f t="shared" si="0"/>
        <v>6989</v>
      </c>
      <c r="Q11" s="857">
        <f t="shared" si="0"/>
        <v>5336</v>
      </c>
      <c r="R11" s="857">
        <f t="shared" si="0"/>
        <v>4595</v>
      </c>
      <c r="S11" s="857">
        <f t="shared" si="0"/>
        <v>5408</v>
      </c>
      <c r="T11" s="857">
        <f t="shared" si="0"/>
        <v>2823</v>
      </c>
      <c r="U11" s="857">
        <f t="shared" si="0"/>
        <v>14292</v>
      </c>
      <c r="V11" s="857">
        <f t="shared" si="0"/>
        <v>81548</v>
      </c>
      <c r="W11" s="857">
        <f t="shared" si="0"/>
        <v>0</v>
      </c>
      <c r="X11" s="857">
        <f t="shared" si="0"/>
        <v>105798</v>
      </c>
      <c r="Y11" s="857">
        <f t="shared" si="0"/>
        <v>2231</v>
      </c>
      <c r="Z11" s="857">
        <f t="shared" si="0"/>
        <v>5416</v>
      </c>
      <c r="AA11" s="857">
        <f t="shared" si="0"/>
        <v>1916</v>
      </c>
      <c r="AB11" s="857">
        <f t="shared" si="0"/>
        <v>5404</v>
      </c>
      <c r="AC11" s="857">
        <f t="shared" si="0"/>
        <v>5333</v>
      </c>
      <c r="AD11" s="857">
        <f t="shared" si="0"/>
        <v>4092</v>
      </c>
      <c r="AE11" s="857">
        <f t="shared" si="0"/>
        <v>5007</v>
      </c>
      <c r="AF11" s="857">
        <f t="shared" si="0"/>
        <v>6556</v>
      </c>
      <c r="AG11" s="857">
        <f t="shared" si="0"/>
        <v>17976</v>
      </c>
      <c r="AH11" s="857">
        <f t="shared" si="0"/>
        <v>0</v>
      </c>
      <c r="AI11" s="857">
        <f>AI12+AI14+AI15+AI13</f>
        <v>693</v>
      </c>
      <c r="AJ11" s="857">
        <f t="shared" si="0"/>
        <v>25377</v>
      </c>
      <c r="AK11" s="857">
        <f t="shared" si="0"/>
        <v>225144</v>
      </c>
      <c r="AL11" s="857">
        <f t="shared" si="0"/>
        <v>19937</v>
      </c>
      <c r="AM11" s="856"/>
    </row>
    <row r="12" spans="1:39" ht="16.5" customHeight="1" x14ac:dyDescent="0.2">
      <c r="A12" s="373" t="s">
        <v>303</v>
      </c>
      <c r="B12" s="499"/>
      <c r="C12" s="553" t="s">
        <v>186</v>
      </c>
      <c r="D12" s="595">
        <f>SUM(E12:AL12)</f>
        <v>662397</v>
      </c>
      <c r="E12" s="857"/>
      <c r="F12" s="555">
        <f>393000-78001</f>
        <v>314999</v>
      </c>
      <c r="G12" s="555"/>
      <c r="H12" s="555"/>
      <c r="I12" s="555"/>
      <c r="J12" s="555"/>
      <c r="K12" s="555"/>
      <c r="L12" s="555">
        <v>714</v>
      </c>
      <c r="M12" s="555">
        <v>14748</v>
      </c>
      <c r="N12" s="555"/>
      <c r="O12" s="555">
        <f>4702+1200</f>
        <v>5902</v>
      </c>
      <c r="P12" s="555">
        <v>6989</v>
      </c>
      <c r="Q12" s="555">
        <v>5336</v>
      </c>
      <c r="R12" s="555">
        <v>4595</v>
      </c>
      <c r="S12" s="555">
        <v>5408</v>
      </c>
      <c r="T12" s="555">
        <v>2823</v>
      </c>
      <c r="U12" s="555">
        <v>14292</v>
      </c>
      <c r="V12" s="555">
        <v>81548</v>
      </c>
      <c r="W12" s="555"/>
      <c r="X12" s="555">
        <f>152218-46420</f>
        <v>105798</v>
      </c>
      <c r="Y12" s="555">
        <v>2231</v>
      </c>
      <c r="Z12" s="555">
        <v>5416</v>
      </c>
      <c r="AA12" s="555">
        <v>1916</v>
      </c>
      <c r="AB12" s="555">
        <v>5404</v>
      </c>
      <c r="AC12" s="555">
        <v>5333</v>
      </c>
      <c r="AD12" s="555">
        <v>4092</v>
      </c>
      <c r="AE12" s="555">
        <v>5007</v>
      </c>
      <c r="AF12" s="555">
        <v>6556</v>
      </c>
      <c r="AG12" s="555">
        <v>17976</v>
      </c>
      <c r="AH12" s="555"/>
      <c r="AI12" s="555"/>
      <c r="AJ12" s="555">
        <f>36800-11423</f>
        <v>25377</v>
      </c>
      <c r="AK12" s="555"/>
      <c r="AL12" s="858">
        <v>19937</v>
      </c>
      <c r="AM12" s="845"/>
    </row>
    <row r="13" spans="1:39" ht="16.5" customHeight="1" x14ac:dyDescent="0.2">
      <c r="A13" s="373" t="s">
        <v>304</v>
      </c>
      <c r="B13" s="499"/>
      <c r="C13" s="553" t="s">
        <v>37</v>
      </c>
      <c r="D13" s="595">
        <f>SUM(E13:AL13)</f>
        <v>68073</v>
      </c>
      <c r="E13" s="857"/>
      <c r="F13" s="555"/>
      <c r="G13" s="555">
        <v>67380</v>
      </c>
      <c r="H13" s="555"/>
      <c r="I13" s="555"/>
      <c r="J13" s="555"/>
      <c r="K13" s="555"/>
      <c r="L13" s="555"/>
      <c r="M13" s="555"/>
      <c r="N13" s="555"/>
      <c r="O13" s="555"/>
      <c r="P13" s="555"/>
      <c r="Q13" s="555"/>
      <c r="R13" s="555"/>
      <c r="S13" s="555"/>
      <c r="T13" s="555"/>
      <c r="U13" s="555"/>
      <c r="V13" s="555"/>
      <c r="W13" s="555"/>
      <c r="X13" s="555"/>
      <c r="Y13" s="555"/>
      <c r="Z13" s="555"/>
      <c r="AA13" s="555"/>
      <c r="AB13" s="555"/>
      <c r="AC13" s="555"/>
      <c r="AD13" s="555"/>
      <c r="AE13" s="555"/>
      <c r="AF13" s="555"/>
      <c r="AG13" s="555"/>
      <c r="AH13" s="555"/>
      <c r="AI13" s="555">
        <v>693</v>
      </c>
      <c r="AJ13" s="555"/>
      <c r="AK13" s="555"/>
      <c r="AL13" s="858"/>
      <c r="AM13" s="845"/>
    </row>
    <row r="14" spans="1:39" ht="11.25" customHeight="1" x14ac:dyDescent="0.2">
      <c r="A14" s="373" t="s">
        <v>475</v>
      </c>
      <c r="B14" s="499"/>
      <c r="C14" s="553" t="s">
        <v>186</v>
      </c>
      <c r="D14" s="595">
        <f>SUM(E14:AL14)</f>
        <v>225144</v>
      </c>
      <c r="E14" s="859"/>
      <c r="F14" s="860"/>
      <c r="G14" s="860"/>
      <c r="H14" s="860"/>
      <c r="I14" s="860"/>
      <c r="J14" s="860"/>
      <c r="K14" s="860"/>
      <c r="L14" s="860"/>
      <c r="M14" s="860"/>
      <c r="N14" s="860"/>
      <c r="O14" s="860"/>
      <c r="P14" s="860"/>
      <c r="Q14" s="860"/>
      <c r="R14" s="860"/>
      <c r="S14" s="860"/>
      <c r="T14" s="860"/>
      <c r="U14" s="860"/>
      <c r="V14" s="860"/>
      <c r="W14" s="860"/>
      <c r="X14" s="860"/>
      <c r="Y14" s="860"/>
      <c r="Z14" s="860"/>
      <c r="AA14" s="860"/>
      <c r="AB14" s="860"/>
      <c r="AC14" s="860"/>
      <c r="AD14" s="860"/>
      <c r="AE14" s="860"/>
      <c r="AF14" s="860"/>
      <c r="AG14" s="860"/>
      <c r="AH14" s="860"/>
      <c r="AI14" s="860"/>
      <c r="AJ14" s="860"/>
      <c r="AK14" s="860">
        <f>269371-44227</f>
        <v>225144</v>
      </c>
      <c r="AL14" s="861"/>
      <c r="AM14" s="845"/>
    </row>
    <row r="15" spans="1:39" ht="12.6" customHeight="1" thickBot="1" x14ac:dyDescent="0.25">
      <c r="A15" s="373" t="s">
        <v>305</v>
      </c>
      <c r="B15" s="504"/>
      <c r="C15" s="518" t="s">
        <v>9</v>
      </c>
      <c r="D15" s="596">
        <f>SUM(E15:AL15)</f>
        <v>0</v>
      </c>
      <c r="E15" s="589"/>
      <c r="F15" s="500"/>
      <c r="G15" s="503"/>
      <c r="H15" s="562"/>
      <c r="I15" s="500"/>
      <c r="J15" s="500"/>
      <c r="K15" s="500"/>
      <c r="L15" s="500"/>
      <c r="M15" s="500"/>
      <c r="N15" s="500"/>
      <c r="O15" s="500"/>
      <c r="P15" s="500"/>
      <c r="Q15" s="500"/>
      <c r="R15" s="500"/>
      <c r="S15" s="500"/>
      <c r="T15" s="500"/>
      <c r="U15" s="500"/>
      <c r="V15" s="500"/>
      <c r="W15" s="501"/>
      <c r="X15" s="500"/>
      <c r="Y15" s="500"/>
      <c r="Z15" s="500"/>
      <c r="AA15" s="500"/>
      <c r="AB15" s="500"/>
      <c r="AC15" s="500"/>
      <c r="AD15" s="500"/>
      <c r="AE15" s="500"/>
      <c r="AF15" s="500"/>
      <c r="AG15" s="500"/>
      <c r="AH15" s="500"/>
      <c r="AI15" s="500"/>
      <c r="AJ15" s="500"/>
      <c r="AK15" s="503"/>
      <c r="AL15" s="502"/>
    </row>
    <row r="16" spans="1:39" s="508" customFormat="1" ht="15.75" customHeight="1" thickBot="1" x14ac:dyDescent="0.3">
      <c r="A16" s="505"/>
      <c r="B16" s="506"/>
      <c r="C16" s="560" t="s">
        <v>36</v>
      </c>
      <c r="D16" s="565">
        <f>SUM(D10:D11)</f>
        <v>1010614</v>
      </c>
      <c r="E16" s="590">
        <f t="shared" ref="E16:AL16" si="1">SUM(E10:E11)</f>
        <v>0</v>
      </c>
      <c r="F16" s="507">
        <f t="shared" si="1"/>
        <v>314999</v>
      </c>
      <c r="G16" s="507">
        <f t="shared" si="1"/>
        <v>67380</v>
      </c>
      <c r="H16" s="507">
        <f t="shared" si="1"/>
        <v>20000</v>
      </c>
      <c r="I16" s="507">
        <f t="shared" si="1"/>
        <v>20000</v>
      </c>
      <c r="J16" s="507">
        <f t="shared" si="1"/>
        <v>5000</v>
      </c>
      <c r="K16" s="507">
        <f>SUM(K10:K11)</f>
        <v>10000</v>
      </c>
      <c r="L16" s="507">
        <f>SUM(L10:L11)</f>
        <v>714</v>
      </c>
      <c r="M16" s="507">
        <f>SUM(M10:M11)</f>
        <v>14748</v>
      </c>
      <c r="N16" s="507">
        <f t="shared" ref="N16:R16" si="2">SUM(N10:N11)</f>
        <v>0</v>
      </c>
      <c r="O16" s="507">
        <f t="shared" si="2"/>
        <v>5902</v>
      </c>
      <c r="P16" s="507">
        <f t="shared" si="2"/>
        <v>6989</v>
      </c>
      <c r="Q16" s="507">
        <f t="shared" si="2"/>
        <v>5336</v>
      </c>
      <c r="R16" s="507">
        <f t="shared" si="2"/>
        <v>4595</v>
      </c>
      <c r="S16" s="507">
        <f t="shared" ref="S16:V16" si="3">SUM(S10:S11)</f>
        <v>5408</v>
      </c>
      <c r="T16" s="507">
        <f t="shared" si="3"/>
        <v>2823</v>
      </c>
      <c r="U16" s="507">
        <f t="shared" ref="U16" si="4">SUM(U10:U11)</f>
        <v>14292</v>
      </c>
      <c r="V16" s="507">
        <f t="shared" si="3"/>
        <v>81548</v>
      </c>
      <c r="W16" s="507">
        <f t="shared" si="1"/>
        <v>0</v>
      </c>
      <c r="X16" s="507">
        <f t="shared" si="1"/>
        <v>105798</v>
      </c>
      <c r="Y16" s="507">
        <f t="shared" ref="Y16:AG16" si="5">SUM(Y10:Y11)</f>
        <v>2231</v>
      </c>
      <c r="Z16" s="507">
        <f t="shared" si="5"/>
        <v>5416</v>
      </c>
      <c r="AA16" s="507">
        <f t="shared" si="5"/>
        <v>1916</v>
      </c>
      <c r="AB16" s="507">
        <f t="shared" si="5"/>
        <v>5404</v>
      </c>
      <c r="AC16" s="507">
        <f t="shared" si="5"/>
        <v>5333</v>
      </c>
      <c r="AD16" s="507">
        <f t="shared" si="5"/>
        <v>4092</v>
      </c>
      <c r="AE16" s="507">
        <f t="shared" si="5"/>
        <v>5007</v>
      </c>
      <c r="AF16" s="507">
        <f t="shared" si="5"/>
        <v>6556</v>
      </c>
      <c r="AG16" s="507">
        <f t="shared" si="5"/>
        <v>17976</v>
      </c>
      <c r="AH16" s="507">
        <f t="shared" ref="AH16" si="6">SUM(AH10:AH11)</f>
        <v>0</v>
      </c>
      <c r="AI16" s="507">
        <f>SUM(AI10:AI11)</f>
        <v>693</v>
      </c>
      <c r="AJ16" s="507">
        <f t="shared" si="1"/>
        <v>25377</v>
      </c>
      <c r="AK16" s="507">
        <f>SUM(AK10:AK11)</f>
        <v>225144</v>
      </c>
      <c r="AL16" s="507">
        <f t="shared" si="1"/>
        <v>19937</v>
      </c>
    </row>
    <row r="17" spans="1:38" s="508" customFormat="1" ht="15" customHeight="1" thickBot="1" x14ac:dyDescent="0.3">
      <c r="A17" s="509"/>
      <c r="B17" s="510"/>
      <c r="C17" s="561" t="s">
        <v>180</v>
      </c>
      <c r="D17" s="566">
        <f t="shared" ref="D17:AL17" si="7">SUM(D9+D16)</f>
        <v>1486906.57</v>
      </c>
      <c r="E17" s="591">
        <f t="shared" si="7"/>
        <v>37819</v>
      </c>
      <c r="F17" s="511">
        <f t="shared" si="7"/>
        <v>393000</v>
      </c>
      <c r="G17" s="511">
        <f t="shared" si="7"/>
        <v>67380</v>
      </c>
      <c r="H17" s="511">
        <f t="shared" si="7"/>
        <v>20000</v>
      </c>
      <c r="I17" s="511">
        <f t="shared" si="7"/>
        <v>20000</v>
      </c>
      <c r="J17" s="511">
        <f t="shared" si="7"/>
        <v>5000</v>
      </c>
      <c r="K17" s="511">
        <f>SUM(K9+K16)</f>
        <v>10000</v>
      </c>
      <c r="L17" s="511">
        <f>SUM(L9+L16)</f>
        <v>2270</v>
      </c>
      <c r="M17" s="511">
        <f t="shared" si="7"/>
        <v>24322</v>
      </c>
      <c r="N17" s="511">
        <f t="shared" ref="N17:R17" si="8">SUM(N9+N16)</f>
        <v>17165.57</v>
      </c>
      <c r="O17" s="511">
        <f t="shared" si="8"/>
        <v>7297</v>
      </c>
      <c r="P17" s="511">
        <f t="shared" si="8"/>
        <v>29069</v>
      </c>
      <c r="Q17" s="511">
        <f t="shared" si="8"/>
        <v>21729</v>
      </c>
      <c r="R17" s="511">
        <f t="shared" si="8"/>
        <v>21079</v>
      </c>
      <c r="S17" s="511">
        <f t="shared" ref="S17:V17" si="9">SUM(S9+S16)</f>
        <v>24375</v>
      </c>
      <c r="T17" s="511">
        <f t="shared" si="9"/>
        <v>11578</v>
      </c>
      <c r="U17" s="511">
        <f t="shared" ref="U17" si="10">SUM(U9+U16)</f>
        <v>14292</v>
      </c>
      <c r="V17" s="511">
        <f t="shared" si="9"/>
        <v>81548</v>
      </c>
      <c r="W17" s="511">
        <f t="shared" si="7"/>
        <v>0</v>
      </c>
      <c r="X17" s="511">
        <f t="shared" si="7"/>
        <v>152218</v>
      </c>
      <c r="Y17" s="511">
        <f t="shared" ref="Y17:AG17" si="11">SUM(Y9+Y16)</f>
        <v>11155</v>
      </c>
      <c r="Z17" s="511">
        <f t="shared" si="11"/>
        <v>27080</v>
      </c>
      <c r="AA17" s="511">
        <f t="shared" si="11"/>
        <v>24870</v>
      </c>
      <c r="AB17" s="511">
        <f t="shared" si="11"/>
        <v>21071</v>
      </c>
      <c r="AC17" s="511">
        <f t="shared" si="11"/>
        <v>26560</v>
      </c>
      <c r="AD17" s="511">
        <f t="shared" si="11"/>
        <v>20173</v>
      </c>
      <c r="AE17" s="511">
        <f t="shared" si="11"/>
        <v>17883</v>
      </c>
      <c r="AF17" s="511">
        <f t="shared" si="11"/>
        <v>25815</v>
      </c>
      <c r="AG17" s="511">
        <f t="shared" si="11"/>
        <v>18597</v>
      </c>
      <c r="AH17" s="511">
        <f t="shared" ref="AH17" si="12">SUM(AH9+AH16)</f>
        <v>523</v>
      </c>
      <c r="AI17" s="511">
        <f>SUM(AI9+AI16)</f>
        <v>6930</v>
      </c>
      <c r="AJ17" s="511">
        <f t="shared" si="7"/>
        <v>36800</v>
      </c>
      <c r="AK17" s="511">
        <f>SUM(AK9+AK16)</f>
        <v>269371</v>
      </c>
      <c r="AL17" s="511">
        <f t="shared" si="7"/>
        <v>19937</v>
      </c>
    </row>
    <row r="18" spans="1:38" s="508" customFormat="1" ht="15" customHeight="1" x14ac:dyDescent="0.25">
      <c r="A18" s="512"/>
      <c r="B18" s="513"/>
      <c r="C18" s="898"/>
      <c r="D18" s="899"/>
      <c r="E18" s="900"/>
      <c r="F18" s="900"/>
      <c r="G18" s="900"/>
      <c r="H18" s="900"/>
      <c r="I18" s="900"/>
      <c r="J18" s="900"/>
      <c r="K18" s="900"/>
      <c r="L18" s="514"/>
      <c r="M18" s="514"/>
      <c r="N18" s="514"/>
      <c r="O18" s="514"/>
      <c r="P18" s="514"/>
      <c r="Q18" s="514"/>
      <c r="R18" s="514"/>
      <c r="S18" s="514"/>
      <c r="T18" s="514"/>
      <c r="U18" s="514"/>
      <c r="V18" s="514"/>
      <c r="W18" s="514"/>
      <c r="X18" s="514"/>
      <c r="Y18" s="514"/>
      <c r="Z18" s="514"/>
      <c r="AA18" s="514"/>
      <c r="AB18" s="514"/>
      <c r="AC18" s="514"/>
      <c r="AD18" s="514"/>
      <c r="AE18" s="514"/>
      <c r="AF18" s="514"/>
      <c r="AG18" s="514"/>
      <c r="AH18" s="514"/>
      <c r="AI18" s="514"/>
      <c r="AJ18" s="514"/>
      <c r="AK18" s="514"/>
      <c r="AL18" s="514"/>
    </row>
    <row r="19" spans="1:38" ht="12.6" customHeight="1" outlineLevel="1" thickBot="1" x14ac:dyDescent="0.25">
      <c r="D19" s="567"/>
      <c r="E19" s="516"/>
      <c r="F19" s="516"/>
      <c r="G19" s="516"/>
      <c r="H19" s="516"/>
      <c r="I19" s="516"/>
      <c r="J19" s="516"/>
      <c r="K19" s="516"/>
      <c r="L19" s="516"/>
      <c r="M19" s="516"/>
      <c r="N19" s="516"/>
      <c r="O19" s="516"/>
      <c r="P19" s="516"/>
      <c r="Q19" s="516"/>
      <c r="R19" s="516"/>
      <c r="S19" s="516"/>
      <c r="T19" s="516"/>
      <c r="U19" s="516"/>
      <c r="V19" s="516"/>
      <c r="W19" s="516"/>
      <c r="X19" s="516"/>
      <c r="Y19" s="516"/>
      <c r="Z19" s="516"/>
      <c r="AA19" s="516"/>
      <c r="AB19" s="516"/>
      <c r="AC19" s="516"/>
      <c r="AD19" s="516"/>
      <c r="AE19" s="516"/>
      <c r="AF19" s="516"/>
      <c r="AG19" s="516"/>
      <c r="AH19" s="516"/>
      <c r="AI19" s="516"/>
      <c r="AJ19" s="516"/>
      <c r="AK19" s="516"/>
      <c r="AL19" s="516"/>
    </row>
    <row r="20" spans="1:38" ht="16.5" customHeight="1" outlineLevel="1" thickBot="1" x14ac:dyDescent="0.25">
      <c r="A20" s="582" t="s">
        <v>7</v>
      </c>
      <c r="B20" s="520" t="s">
        <v>7</v>
      </c>
      <c r="C20" s="585" t="s">
        <v>10</v>
      </c>
      <c r="D20" s="606" t="s">
        <v>30</v>
      </c>
      <c r="E20" s="600" t="s">
        <v>211</v>
      </c>
      <c r="F20" s="583" t="s">
        <v>211</v>
      </c>
      <c r="G20" s="583" t="s">
        <v>211</v>
      </c>
      <c r="H20" s="583" t="s">
        <v>211</v>
      </c>
      <c r="I20" s="583" t="s">
        <v>211</v>
      </c>
      <c r="J20" s="583" t="s">
        <v>211</v>
      </c>
      <c r="K20" s="583" t="s">
        <v>211</v>
      </c>
      <c r="L20" s="583" t="s">
        <v>211</v>
      </c>
      <c r="M20" s="583" t="s">
        <v>211</v>
      </c>
      <c r="N20" s="583" t="s">
        <v>211</v>
      </c>
      <c r="O20" s="583" t="s">
        <v>211</v>
      </c>
      <c r="P20" s="583" t="s">
        <v>211</v>
      </c>
      <c r="Q20" s="583" t="s">
        <v>211</v>
      </c>
      <c r="R20" s="583" t="s">
        <v>211</v>
      </c>
      <c r="S20" s="583" t="s">
        <v>211</v>
      </c>
      <c r="T20" s="583" t="s">
        <v>211</v>
      </c>
      <c r="U20" s="583"/>
      <c r="V20" s="583" t="s">
        <v>211</v>
      </c>
      <c r="W20" s="583" t="s">
        <v>211</v>
      </c>
      <c r="X20" s="583" t="s">
        <v>211</v>
      </c>
      <c r="Y20" s="583" t="s">
        <v>211</v>
      </c>
      <c r="Z20" s="583" t="s">
        <v>211</v>
      </c>
      <c r="AA20" s="583" t="s">
        <v>211</v>
      </c>
      <c r="AB20" s="583" t="s">
        <v>211</v>
      </c>
      <c r="AC20" s="583" t="s">
        <v>211</v>
      </c>
      <c r="AD20" s="583" t="s">
        <v>211</v>
      </c>
      <c r="AE20" s="583" t="s">
        <v>211</v>
      </c>
      <c r="AF20" s="583" t="s">
        <v>211</v>
      </c>
      <c r="AG20" s="583" t="s">
        <v>211</v>
      </c>
      <c r="AH20" s="583" t="s">
        <v>211</v>
      </c>
      <c r="AI20" s="583" t="s">
        <v>211</v>
      </c>
      <c r="AJ20" s="583" t="s">
        <v>211</v>
      </c>
      <c r="AK20" s="583" t="s">
        <v>211</v>
      </c>
      <c r="AL20" s="584" t="s">
        <v>211</v>
      </c>
    </row>
    <row r="21" spans="1:38" s="496" customFormat="1" ht="12.6" customHeight="1" outlineLevel="1" x14ac:dyDescent="0.2">
      <c r="A21" s="579">
        <v>1100</v>
      </c>
      <c r="B21" s="580"/>
      <c r="C21" s="524" t="s">
        <v>11</v>
      </c>
      <c r="D21" s="593">
        <f>SUM(E21:AL21)</f>
        <v>612465</v>
      </c>
      <c r="E21" s="587">
        <f>27112+1985</f>
        <v>29097</v>
      </c>
      <c r="F21" s="517">
        <v>299377</v>
      </c>
      <c r="G21" s="517">
        <v>3000</v>
      </c>
      <c r="H21" s="517">
        <v>3950</v>
      </c>
      <c r="I21" s="517">
        <f>30764/2</f>
        <v>15382</v>
      </c>
      <c r="J21" s="517"/>
      <c r="K21" s="517"/>
      <c r="L21" s="517"/>
      <c r="M21" s="517">
        <v>4800</v>
      </c>
      <c r="N21" s="517"/>
      <c r="O21" s="517"/>
      <c r="P21" s="517">
        <v>500</v>
      </c>
      <c r="Q21" s="517">
        <v>250</v>
      </c>
      <c r="R21" s="517">
        <v>500</v>
      </c>
      <c r="S21" s="517">
        <v>500</v>
      </c>
      <c r="T21" s="517">
        <v>250</v>
      </c>
      <c r="U21" s="517"/>
      <c r="V21" s="517"/>
      <c r="W21" s="517"/>
      <c r="X21" s="517">
        <v>115549</v>
      </c>
      <c r="Y21" s="517"/>
      <c r="Z21" s="517"/>
      <c r="AA21" s="517">
        <v>1130</v>
      </c>
      <c r="AB21" s="517">
        <v>1618</v>
      </c>
      <c r="AC21" s="517">
        <v>1130</v>
      </c>
      <c r="AD21" s="517">
        <v>1618</v>
      </c>
      <c r="AE21" s="517"/>
      <c r="AF21" s="517">
        <v>3000</v>
      </c>
      <c r="AG21" s="517"/>
      <c r="AH21" s="517"/>
      <c r="AI21" s="517"/>
      <c r="AJ21" s="517"/>
      <c r="AK21" s="517">
        <v>118300</v>
      </c>
      <c r="AL21" s="581">
        <v>12514</v>
      </c>
    </row>
    <row r="22" spans="1:38" s="496" customFormat="1" ht="12.6" customHeight="1" outlineLevel="1" x14ac:dyDescent="0.2">
      <c r="A22" s="573">
        <v>1200</v>
      </c>
      <c r="B22" s="554"/>
      <c r="C22" s="597" t="s">
        <v>12</v>
      </c>
      <c r="D22" s="594">
        <f>SUM(E22:AL22)</f>
        <v>169918</v>
      </c>
      <c r="E22" s="588">
        <f>6254+468</f>
        <v>6722</v>
      </c>
      <c r="F22" s="523">
        <v>70623</v>
      </c>
      <c r="G22" s="523">
        <v>708</v>
      </c>
      <c r="H22" s="523">
        <v>932</v>
      </c>
      <c r="I22" s="523">
        <f>9236/2</f>
        <v>4618</v>
      </c>
      <c r="J22" s="523"/>
      <c r="K22" s="523"/>
      <c r="L22" s="523"/>
      <c r="M22" s="523">
        <v>1125</v>
      </c>
      <c r="N22" s="523"/>
      <c r="O22" s="523"/>
      <c r="P22" s="523">
        <v>118</v>
      </c>
      <c r="Q22" s="523">
        <v>59</v>
      </c>
      <c r="R22" s="523">
        <v>118</v>
      </c>
      <c r="S22" s="523">
        <v>118</v>
      </c>
      <c r="T22" s="523">
        <v>59</v>
      </c>
      <c r="U22" s="523"/>
      <c r="V22" s="523"/>
      <c r="W22" s="523"/>
      <c r="X22" s="523">
        <v>36669</v>
      </c>
      <c r="Y22" s="523"/>
      <c r="Z22" s="523"/>
      <c r="AA22" s="523">
        <v>266</v>
      </c>
      <c r="AB22" s="523">
        <v>382</v>
      </c>
      <c r="AC22" s="523">
        <v>266</v>
      </c>
      <c r="AD22" s="523">
        <v>382</v>
      </c>
      <c r="AE22" s="523"/>
      <c r="AF22" s="523">
        <v>708</v>
      </c>
      <c r="AG22" s="523"/>
      <c r="AH22" s="523"/>
      <c r="AI22" s="523"/>
      <c r="AJ22" s="523"/>
      <c r="AK22" s="523">
        <v>39307</v>
      </c>
      <c r="AL22" s="572">
        <v>6738</v>
      </c>
    </row>
    <row r="23" spans="1:38" s="496" customFormat="1" ht="12.6" customHeight="1" outlineLevel="1" x14ac:dyDescent="0.2">
      <c r="A23" s="573">
        <v>2000</v>
      </c>
      <c r="B23" s="554"/>
      <c r="C23" s="553" t="s">
        <v>13</v>
      </c>
      <c r="D23" s="594">
        <f t="shared" ref="D23:AL23" si="13">SUM(D24+D25+D26+D27+D28)</f>
        <v>567547</v>
      </c>
      <c r="E23" s="588">
        <f t="shared" si="13"/>
        <v>2000</v>
      </c>
      <c r="F23" s="523">
        <f t="shared" si="13"/>
        <v>0</v>
      </c>
      <c r="G23" s="523">
        <f t="shared" si="13"/>
        <v>63672</v>
      </c>
      <c r="H23" s="523">
        <f>SUM(H24+H25+H26+H27+H28)</f>
        <v>13468</v>
      </c>
      <c r="I23" s="523">
        <f t="shared" si="13"/>
        <v>0</v>
      </c>
      <c r="J23" s="523">
        <f t="shared" si="13"/>
        <v>5000</v>
      </c>
      <c r="K23" s="523">
        <f t="shared" si="13"/>
        <v>10000</v>
      </c>
      <c r="L23" s="523">
        <f t="shared" si="13"/>
        <v>2270</v>
      </c>
      <c r="M23" s="523">
        <f t="shared" si="13"/>
        <v>18397</v>
      </c>
      <c r="N23" s="523">
        <f t="shared" si="13"/>
        <v>17166</v>
      </c>
      <c r="O23" s="523">
        <f t="shared" si="13"/>
        <v>7297</v>
      </c>
      <c r="P23" s="523">
        <f t="shared" si="13"/>
        <v>27888</v>
      </c>
      <c r="Q23" s="523">
        <f t="shared" si="13"/>
        <v>21420</v>
      </c>
      <c r="R23" s="523">
        <f t="shared" si="13"/>
        <v>20461</v>
      </c>
      <c r="S23" s="523">
        <f t="shared" si="13"/>
        <v>23757</v>
      </c>
      <c r="T23" s="523">
        <f t="shared" si="13"/>
        <v>11269</v>
      </c>
      <c r="U23" s="523">
        <f t="shared" si="13"/>
        <v>14292</v>
      </c>
      <c r="V23" s="523">
        <f t="shared" si="13"/>
        <v>81548</v>
      </c>
      <c r="W23" s="523">
        <f t="shared" si="13"/>
        <v>0</v>
      </c>
      <c r="X23" s="523">
        <f t="shared" si="13"/>
        <v>0</v>
      </c>
      <c r="Y23" s="523">
        <f t="shared" si="13"/>
        <v>11155</v>
      </c>
      <c r="Z23" s="523">
        <f t="shared" si="13"/>
        <v>27080</v>
      </c>
      <c r="AA23" s="523">
        <f t="shared" si="13"/>
        <v>23474</v>
      </c>
      <c r="AB23" s="523">
        <f t="shared" si="13"/>
        <v>19071</v>
      </c>
      <c r="AC23" s="523">
        <f t="shared" si="13"/>
        <v>25164</v>
      </c>
      <c r="AD23" s="523">
        <f t="shared" si="13"/>
        <v>18173</v>
      </c>
      <c r="AE23" s="523">
        <f t="shared" si="13"/>
        <v>17883</v>
      </c>
      <c r="AF23" s="523">
        <f t="shared" si="13"/>
        <v>22107</v>
      </c>
      <c r="AG23" s="523">
        <f t="shared" si="13"/>
        <v>18597</v>
      </c>
      <c r="AH23" s="523">
        <f t="shared" si="13"/>
        <v>523</v>
      </c>
      <c r="AI23" s="523">
        <f>SUM(AI24+AI25+AI26+AI27+AI28)</f>
        <v>6930</v>
      </c>
      <c r="AJ23" s="523">
        <f t="shared" si="13"/>
        <v>36800</v>
      </c>
      <c r="AK23" s="523">
        <f t="shared" si="13"/>
        <v>0</v>
      </c>
      <c r="AL23" s="572">
        <f t="shared" si="13"/>
        <v>685</v>
      </c>
    </row>
    <row r="24" spans="1:38" s="496" customFormat="1" ht="12.6" customHeight="1" outlineLevel="1" x14ac:dyDescent="0.2">
      <c r="A24" s="862">
        <v>2100</v>
      </c>
      <c r="B24" s="863"/>
      <c r="C24" s="864" t="s">
        <v>14</v>
      </c>
      <c r="D24" s="594">
        <f t="shared" ref="D24:D34" si="14">SUM(E24:AL24)</f>
        <v>244074</v>
      </c>
      <c r="E24" s="857">
        <v>500</v>
      </c>
      <c r="F24" s="555"/>
      <c r="G24" s="555"/>
      <c r="H24" s="555"/>
      <c r="I24" s="555"/>
      <c r="J24" s="555"/>
      <c r="K24" s="555"/>
      <c r="L24" s="555"/>
      <c r="M24" s="523">
        <v>16800</v>
      </c>
      <c r="N24" s="523">
        <v>8666</v>
      </c>
      <c r="O24" s="523">
        <v>1200</v>
      </c>
      <c r="P24" s="523">
        <v>17969</v>
      </c>
      <c r="Q24" s="523">
        <v>17024</v>
      </c>
      <c r="R24" s="523">
        <v>15741</v>
      </c>
      <c r="S24" s="523">
        <v>18498</v>
      </c>
      <c r="T24" s="523">
        <v>2982</v>
      </c>
      <c r="U24" s="523">
        <v>3815</v>
      </c>
      <c r="V24" s="523">
        <v>22300</v>
      </c>
      <c r="W24" s="523"/>
      <c r="X24" s="523"/>
      <c r="Y24" s="523">
        <v>7105</v>
      </c>
      <c r="Z24" s="523">
        <v>7000</v>
      </c>
      <c r="AA24" s="523">
        <v>20174</v>
      </c>
      <c r="AB24" s="523">
        <f>16306-1235</f>
        <v>15071</v>
      </c>
      <c r="AC24" s="523">
        <f>17950+3214</f>
        <v>21164</v>
      </c>
      <c r="AD24" s="523">
        <f>6000+8460</f>
        <v>14460</v>
      </c>
      <c r="AE24" s="523">
        <f>11117+5773</f>
        <v>16890</v>
      </c>
      <c r="AF24" s="523">
        <f>6400+203</f>
        <v>6603</v>
      </c>
      <c r="AG24" s="523">
        <v>10000</v>
      </c>
      <c r="AH24" s="523"/>
      <c r="AI24" s="523"/>
      <c r="AJ24" s="523"/>
      <c r="AK24" s="523"/>
      <c r="AL24" s="572">
        <v>112</v>
      </c>
    </row>
    <row r="25" spans="1:38" ht="12.6" customHeight="1" outlineLevel="1" x14ac:dyDescent="0.2">
      <c r="A25" s="865">
        <v>2200</v>
      </c>
      <c r="B25" s="866"/>
      <c r="C25" s="867" t="s">
        <v>15</v>
      </c>
      <c r="D25" s="594">
        <f t="shared" si="14"/>
        <v>267981</v>
      </c>
      <c r="E25" s="857">
        <v>1000</v>
      </c>
      <c r="F25" s="555"/>
      <c r="G25" s="555">
        <f>90316-26644</f>
        <v>63672</v>
      </c>
      <c r="H25" s="555">
        <v>8743</v>
      </c>
      <c r="I25" s="555"/>
      <c r="J25" s="555">
        <v>4360</v>
      </c>
      <c r="K25" s="555">
        <v>10000</v>
      </c>
      <c r="L25" s="555"/>
      <c r="M25" s="523">
        <v>1597</v>
      </c>
      <c r="N25" s="523">
        <v>1552</v>
      </c>
      <c r="O25" s="523">
        <f>6096+1</f>
        <v>6097</v>
      </c>
      <c r="P25" s="523">
        <v>2783</v>
      </c>
      <c r="Q25" s="523">
        <v>1450</v>
      </c>
      <c r="R25" s="523">
        <v>1850</v>
      </c>
      <c r="S25" s="523">
        <v>1650</v>
      </c>
      <c r="T25" s="523">
        <v>4125</v>
      </c>
      <c r="U25" s="555">
        <v>8176</v>
      </c>
      <c r="V25" s="555">
        <v>59248</v>
      </c>
      <c r="W25" s="523"/>
      <c r="X25" s="523"/>
      <c r="Y25" s="523">
        <v>4050</v>
      </c>
      <c r="Z25" s="523">
        <f>8664+5416</f>
        <v>14080</v>
      </c>
      <c r="AA25" s="523">
        <v>1300</v>
      </c>
      <c r="AB25" s="523">
        <v>2000</v>
      </c>
      <c r="AC25" s="523">
        <v>2000</v>
      </c>
      <c r="AD25" s="523">
        <f>1000+1000+2000-287</f>
        <v>3713</v>
      </c>
      <c r="AE25" s="523">
        <v>500</v>
      </c>
      <c r="AF25" s="523">
        <f>2000+13504</f>
        <v>15504</v>
      </c>
      <c r="AG25" s="555">
        <f>5000-722</f>
        <v>4278</v>
      </c>
      <c r="AH25" s="555">
        <v>523</v>
      </c>
      <c r="AI25" s="973">
        <v>6930</v>
      </c>
      <c r="AJ25" s="523">
        <v>36800</v>
      </c>
      <c r="AK25" s="523"/>
      <c r="AL25" s="572"/>
    </row>
    <row r="26" spans="1:38" s="496" customFormat="1" ht="12" customHeight="1" outlineLevel="1" x14ac:dyDescent="0.2">
      <c r="A26" s="862">
        <v>2300</v>
      </c>
      <c r="B26" s="863"/>
      <c r="C26" s="864" t="s">
        <v>16</v>
      </c>
      <c r="D26" s="594">
        <f t="shared" si="14"/>
        <v>55492</v>
      </c>
      <c r="E26" s="857">
        <v>500</v>
      </c>
      <c r="F26" s="555"/>
      <c r="G26" s="555"/>
      <c r="H26" s="555">
        <v>4725</v>
      </c>
      <c r="I26" s="555"/>
      <c r="J26" s="555">
        <v>640</v>
      </c>
      <c r="K26" s="555"/>
      <c r="L26" s="555">
        <v>2270</v>
      </c>
      <c r="M26" s="523"/>
      <c r="N26" s="523">
        <v>6948</v>
      </c>
      <c r="O26" s="523"/>
      <c r="P26" s="523">
        <v>7136</v>
      </c>
      <c r="Q26" s="523">
        <v>2946</v>
      </c>
      <c r="R26" s="523">
        <v>2870</v>
      </c>
      <c r="S26" s="523">
        <v>3609</v>
      </c>
      <c r="T26" s="523">
        <v>4162</v>
      </c>
      <c r="U26" s="523">
        <v>2301</v>
      </c>
      <c r="V26" s="523"/>
      <c r="W26" s="523"/>
      <c r="X26" s="523"/>
      <c r="Y26" s="523"/>
      <c r="Z26" s="523">
        <v>6000</v>
      </c>
      <c r="AA26" s="523">
        <v>2000</v>
      </c>
      <c r="AB26" s="523">
        <v>2000</v>
      </c>
      <c r="AC26" s="523">
        <v>2000</v>
      </c>
      <c r="AD26" s="523"/>
      <c r="AE26" s="523">
        <v>493</v>
      </c>
      <c r="AF26" s="523"/>
      <c r="AG26" s="523">
        <v>4319</v>
      </c>
      <c r="AH26" s="523"/>
      <c r="AI26" s="523"/>
      <c r="AJ26" s="523"/>
      <c r="AK26" s="523"/>
      <c r="AL26" s="572">
        <v>573</v>
      </c>
    </row>
    <row r="27" spans="1:38" s="496" customFormat="1" ht="12.6" hidden="1" customHeight="1" outlineLevel="1" x14ac:dyDescent="0.2">
      <c r="A27" s="862">
        <v>2400</v>
      </c>
      <c r="B27" s="863"/>
      <c r="C27" s="864" t="s">
        <v>181</v>
      </c>
      <c r="D27" s="594">
        <f t="shared" si="14"/>
        <v>0</v>
      </c>
      <c r="E27" s="857"/>
      <c r="F27" s="555"/>
      <c r="G27" s="555"/>
      <c r="H27" s="555"/>
      <c r="I27" s="555"/>
      <c r="J27" s="555"/>
      <c r="K27" s="555"/>
      <c r="L27" s="555"/>
      <c r="M27" s="523"/>
      <c r="N27" s="523"/>
      <c r="O27" s="523"/>
      <c r="P27" s="523"/>
      <c r="Q27" s="523"/>
      <c r="R27" s="523"/>
      <c r="S27" s="523"/>
      <c r="T27" s="523"/>
      <c r="U27" s="523"/>
      <c r="V27" s="523"/>
      <c r="W27" s="523"/>
      <c r="X27" s="523"/>
      <c r="Y27" s="523"/>
      <c r="Z27" s="523"/>
      <c r="AA27" s="523"/>
      <c r="AB27" s="523"/>
      <c r="AC27" s="523"/>
      <c r="AD27" s="523"/>
      <c r="AE27" s="523"/>
      <c r="AF27" s="523"/>
      <c r="AG27" s="523"/>
      <c r="AH27" s="523"/>
      <c r="AI27" s="523"/>
      <c r="AJ27" s="523"/>
      <c r="AK27" s="523"/>
      <c r="AL27" s="572"/>
    </row>
    <row r="28" spans="1:38" s="496" customFormat="1" ht="24" hidden="1" outlineLevel="1" x14ac:dyDescent="0.2">
      <c r="A28" s="862">
        <v>2500</v>
      </c>
      <c r="B28" s="863"/>
      <c r="C28" s="868" t="s">
        <v>253</v>
      </c>
      <c r="D28" s="594">
        <f t="shared" si="14"/>
        <v>0</v>
      </c>
      <c r="E28" s="857"/>
      <c r="F28" s="555"/>
      <c r="G28" s="555"/>
      <c r="H28" s="555"/>
      <c r="I28" s="555"/>
      <c r="J28" s="555"/>
      <c r="K28" s="555"/>
      <c r="L28" s="555"/>
      <c r="M28" s="523"/>
      <c r="N28" s="523"/>
      <c r="O28" s="523"/>
      <c r="P28" s="523"/>
      <c r="Q28" s="523"/>
      <c r="R28" s="523"/>
      <c r="S28" s="523"/>
      <c r="T28" s="523"/>
      <c r="U28" s="523"/>
      <c r="V28" s="523"/>
      <c r="W28" s="523"/>
      <c r="X28" s="523"/>
      <c r="Y28" s="523"/>
      <c r="Z28" s="523"/>
      <c r="AA28" s="523"/>
      <c r="AB28" s="523"/>
      <c r="AC28" s="523"/>
      <c r="AD28" s="523"/>
      <c r="AE28" s="523"/>
      <c r="AF28" s="523"/>
      <c r="AG28" s="523"/>
      <c r="AH28" s="523"/>
      <c r="AI28" s="523"/>
      <c r="AJ28" s="523"/>
      <c r="AK28" s="523"/>
      <c r="AL28" s="572">
        <v>0</v>
      </c>
    </row>
    <row r="29" spans="1:38" s="496" customFormat="1" ht="12.6" customHeight="1" outlineLevel="1" x14ac:dyDescent="0.2">
      <c r="A29" s="862">
        <v>3200</v>
      </c>
      <c r="B29" s="863">
        <v>3291</v>
      </c>
      <c r="C29" s="864" t="s">
        <v>182</v>
      </c>
      <c r="D29" s="594">
        <f t="shared" si="14"/>
        <v>23000</v>
      </c>
      <c r="E29" s="857"/>
      <c r="F29" s="555">
        <v>23000</v>
      </c>
      <c r="G29" s="555"/>
      <c r="H29" s="555"/>
      <c r="I29" s="555"/>
      <c r="J29" s="555"/>
      <c r="K29" s="555"/>
      <c r="L29" s="555"/>
      <c r="M29" s="523"/>
      <c r="N29" s="523"/>
      <c r="O29" s="523"/>
      <c r="P29" s="523"/>
      <c r="Q29" s="523"/>
      <c r="R29" s="523"/>
      <c r="S29" s="523"/>
      <c r="T29" s="523"/>
      <c r="U29" s="523"/>
      <c r="V29" s="523"/>
      <c r="W29" s="523"/>
      <c r="X29" s="523"/>
      <c r="Y29" s="523"/>
      <c r="Z29" s="523"/>
      <c r="AA29" s="523"/>
      <c r="AB29" s="523"/>
      <c r="AC29" s="523"/>
      <c r="AD29" s="523"/>
      <c r="AE29" s="523"/>
      <c r="AF29" s="523"/>
      <c r="AG29" s="523"/>
      <c r="AH29" s="523"/>
      <c r="AI29" s="523"/>
      <c r="AJ29" s="523"/>
      <c r="AK29" s="523"/>
      <c r="AL29" s="572"/>
    </row>
    <row r="30" spans="1:38" s="496" customFormat="1" ht="12.6" hidden="1" customHeight="1" outlineLevel="1" x14ac:dyDescent="0.2">
      <c r="A30" s="573">
        <v>4310</v>
      </c>
      <c r="B30" s="554">
        <v>4311</v>
      </c>
      <c r="C30" s="553" t="s">
        <v>21</v>
      </c>
      <c r="D30" s="594">
        <f t="shared" si="14"/>
        <v>0</v>
      </c>
      <c r="E30" s="588"/>
      <c r="F30" s="523"/>
      <c r="G30" s="523"/>
      <c r="H30" s="523"/>
      <c r="I30" s="523"/>
      <c r="J30" s="523"/>
      <c r="K30" s="523"/>
      <c r="L30" s="523"/>
      <c r="M30" s="523"/>
      <c r="N30" s="523"/>
      <c r="O30" s="523"/>
      <c r="P30" s="523"/>
      <c r="Q30" s="523"/>
      <c r="R30" s="523"/>
      <c r="S30" s="523"/>
      <c r="T30" s="523"/>
      <c r="U30" s="523"/>
      <c r="V30" s="523"/>
      <c r="W30" s="523"/>
      <c r="X30" s="523"/>
      <c r="Y30" s="523"/>
      <c r="Z30" s="523"/>
      <c r="AA30" s="523"/>
      <c r="AB30" s="523"/>
      <c r="AC30" s="523"/>
      <c r="AD30" s="523"/>
      <c r="AE30" s="523"/>
      <c r="AF30" s="523"/>
      <c r="AG30" s="523"/>
      <c r="AH30" s="523"/>
      <c r="AI30" s="523"/>
      <c r="AJ30" s="523"/>
      <c r="AK30" s="523"/>
      <c r="AL30" s="572"/>
    </row>
    <row r="31" spans="1:38" s="496" customFormat="1" ht="12.6" hidden="1" customHeight="1" outlineLevel="1" x14ac:dyDescent="0.2">
      <c r="A31" s="573">
        <v>5100</v>
      </c>
      <c r="B31" s="554"/>
      <c r="C31" s="553" t="s">
        <v>22</v>
      </c>
      <c r="D31" s="594">
        <f t="shared" si="14"/>
        <v>0</v>
      </c>
      <c r="E31" s="588"/>
      <c r="F31" s="523"/>
      <c r="G31" s="523"/>
      <c r="H31" s="523"/>
      <c r="I31" s="523"/>
      <c r="J31" s="523"/>
      <c r="K31" s="523"/>
      <c r="L31" s="523"/>
      <c r="M31" s="523"/>
      <c r="N31" s="523"/>
      <c r="O31" s="523"/>
      <c r="P31" s="523"/>
      <c r="Q31" s="523"/>
      <c r="R31" s="523"/>
      <c r="S31" s="523"/>
      <c r="T31" s="523"/>
      <c r="U31" s="523"/>
      <c r="V31" s="523"/>
      <c r="W31" s="523"/>
      <c r="X31" s="523"/>
      <c r="Y31" s="523"/>
      <c r="Z31" s="523"/>
      <c r="AA31" s="523"/>
      <c r="AB31" s="523"/>
      <c r="AC31" s="523"/>
      <c r="AD31" s="523"/>
      <c r="AE31" s="523"/>
      <c r="AF31" s="523"/>
      <c r="AG31" s="523"/>
      <c r="AH31" s="523"/>
      <c r="AI31" s="523"/>
      <c r="AJ31" s="523"/>
      <c r="AK31" s="523"/>
      <c r="AL31" s="572">
        <v>0</v>
      </c>
    </row>
    <row r="32" spans="1:38" s="496" customFormat="1" ht="12.6" customHeight="1" outlineLevel="1" x14ac:dyDescent="0.2">
      <c r="A32" s="573">
        <v>5200</v>
      </c>
      <c r="B32" s="554"/>
      <c r="C32" s="553" t="s">
        <v>23</v>
      </c>
      <c r="D32" s="594">
        <f t="shared" si="14"/>
        <v>2213</v>
      </c>
      <c r="E32" s="588"/>
      <c r="F32" s="523"/>
      <c r="G32" s="523"/>
      <c r="H32" s="523">
        <v>1650</v>
      </c>
      <c r="I32" s="523"/>
      <c r="J32" s="523"/>
      <c r="K32" s="523"/>
      <c r="L32" s="523"/>
      <c r="M32" s="523"/>
      <c r="N32" s="523"/>
      <c r="O32" s="523"/>
      <c r="P32" s="523">
        <v>563</v>
      </c>
      <c r="Q32" s="523"/>
      <c r="R32" s="523"/>
      <c r="S32" s="523"/>
      <c r="T32" s="523"/>
      <c r="U32" s="523"/>
      <c r="V32" s="523"/>
      <c r="W32" s="523"/>
      <c r="X32" s="523"/>
      <c r="Y32" s="523"/>
      <c r="Z32" s="523"/>
      <c r="AA32" s="523"/>
      <c r="AB32" s="523"/>
      <c r="AC32" s="523"/>
      <c r="AD32" s="523"/>
      <c r="AE32" s="523"/>
      <c r="AF32" s="523"/>
      <c r="AG32" s="523"/>
      <c r="AH32" s="523"/>
      <c r="AI32" s="523"/>
      <c r="AJ32" s="523"/>
      <c r="AK32" s="523"/>
      <c r="AL32" s="572"/>
    </row>
    <row r="33" spans="1:38" s="496" customFormat="1" outlineLevel="1" x14ac:dyDescent="0.2">
      <c r="A33" s="573">
        <v>6411</v>
      </c>
      <c r="B33" s="554"/>
      <c r="C33" s="553" t="s">
        <v>354</v>
      </c>
      <c r="D33" s="594">
        <f t="shared" si="14"/>
        <v>15000</v>
      </c>
      <c r="E33" s="588"/>
      <c r="F33" s="523"/>
      <c r="G33" s="523"/>
      <c r="H33" s="523"/>
      <c r="I33" s="523"/>
      <c r="J33" s="523"/>
      <c r="K33" s="523"/>
      <c r="L33" s="523"/>
      <c r="M33" s="523"/>
      <c r="N33" s="523"/>
      <c r="O33" s="523"/>
      <c r="P33" s="523"/>
      <c r="Q33" s="523"/>
      <c r="R33" s="523"/>
      <c r="S33" s="523"/>
      <c r="T33" s="523"/>
      <c r="U33" s="523"/>
      <c r="V33" s="523"/>
      <c r="W33" s="523"/>
      <c r="X33" s="523"/>
      <c r="Y33" s="523"/>
      <c r="Z33" s="523"/>
      <c r="AA33" s="523"/>
      <c r="AB33" s="523"/>
      <c r="AC33" s="523"/>
      <c r="AD33" s="523"/>
      <c r="AE33" s="523"/>
      <c r="AF33" s="523"/>
      <c r="AG33" s="523"/>
      <c r="AH33" s="523"/>
      <c r="AI33" s="523"/>
      <c r="AJ33" s="523"/>
      <c r="AK33" s="523">
        <v>15000</v>
      </c>
      <c r="AL33" s="572"/>
    </row>
    <row r="34" spans="1:38" s="486" customFormat="1" ht="12.6" customHeight="1" outlineLevel="1" thickBot="1" x14ac:dyDescent="0.25">
      <c r="A34" s="573">
        <v>6419</v>
      </c>
      <c r="B34" s="499"/>
      <c r="C34" s="598" t="s">
        <v>24</v>
      </c>
      <c r="D34" s="603">
        <f t="shared" si="14"/>
        <v>96764</v>
      </c>
      <c r="E34" s="588"/>
      <c r="F34" s="523"/>
      <c r="G34" s="523"/>
      <c r="H34" s="523"/>
      <c r="I34" s="523"/>
      <c r="J34" s="523"/>
      <c r="K34" s="523"/>
      <c r="L34" s="523"/>
      <c r="M34" s="523"/>
      <c r="N34" s="523"/>
      <c r="O34" s="523"/>
      <c r="P34" s="523"/>
      <c r="Q34" s="523"/>
      <c r="R34" s="523"/>
      <c r="S34" s="523"/>
      <c r="T34" s="523"/>
      <c r="U34" s="523"/>
      <c r="V34" s="523"/>
      <c r="W34" s="523"/>
      <c r="X34" s="523"/>
      <c r="Y34" s="523"/>
      <c r="Z34" s="523"/>
      <c r="AA34" s="523"/>
      <c r="AB34" s="523"/>
      <c r="AC34" s="523"/>
      <c r="AD34" s="523"/>
      <c r="AE34" s="523"/>
      <c r="AF34" s="523"/>
      <c r="AG34" s="523"/>
      <c r="AH34" s="523"/>
      <c r="AI34" s="523"/>
      <c r="AJ34" s="523"/>
      <c r="AK34" s="523">
        <v>96764</v>
      </c>
      <c r="AL34" s="572"/>
    </row>
    <row r="35" spans="1:38" s="486" customFormat="1" ht="12" hidden="1" customHeight="1" outlineLevel="1" x14ac:dyDescent="0.2">
      <c r="A35" s="573">
        <v>7240</v>
      </c>
      <c r="B35" s="499"/>
      <c r="C35" s="550" t="s">
        <v>183</v>
      </c>
      <c r="D35" s="603">
        <f>D36</f>
        <v>0</v>
      </c>
      <c r="E35" s="588"/>
      <c r="F35" s="523"/>
      <c r="G35" s="523"/>
      <c r="H35" s="523"/>
      <c r="I35" s="523"/>
      <c r="J35" s="523"/>
      <c r="K35" s="523"/>
      <c r="L35" s="523"/>
      <c r="M35" s="523"/>
      <c r="N35" s="523"/>
      <c r="O35" s="523"/>
      <c r="P35" s="523"/>
      <c r="Q35" s="523"/>
      <c r="R35" s="523"/>
      <c r="S35" s="523"/>
      <c r="T35" s="523"/>
      <c r="U35" s="523"/>
      <c r="V35" s="523"/>
      <c r="W35" s="523"/>
      <c r="X35" s="523"/>
      <c r="Y35" s="523"/>
      <c r="Z35" s="523"/>
      <c r="AA35" s="523"/>
      <c r="AB35" s="523"/>
      <c r="AC35" s="523"/>
      <c r="AD35" s="523"/>
      <c r="AE35" s="523"/>
      <c r="AF35" s="523"/>
      <c r="AG35" s="523"/>
      <c r="AH35" s="523"/>
      <c r="AI35" s="523"/>
      <c r="AJ35" s="523"/>
      <c r="AK35" s="523"/>
      <c r="AL35" s="572"/>
    </row>
    <row r="36" spans="1:38" s="486" customFormat="1" ht="12" hidden="1" customHeight="1" outlineLevel="1" x14ac:dyDescent="0.2">
      <c r="A36" s="574">
        <v>7700</v>
      </c>
      <c r="B36" s="575">
        <v>7720</v>
      </c>
      <c r="C36" s="599" t="s">
        <v>116</v>
      </c>
      <c r="D36" s="604">
        <f>SUM(E36:AL36)</f>
        <v>0</v>
      </c>
      <c r="E36" s="601"/>
      <c r="F36" s="576"/>
      <c r="G36" s="577"/>
      <c r="H36" s="577"/>
      <c r="I36" s="576"/>
      <c r="J36" s="577"/>
      <c r="K36" s="577"/>
      <c r="L36" s="577"/>
      <c r="M36" s="577"/>
      <c r="N36" s="577"/>
      <c r="O36" s="577"/>
      <c r="P36" s="577"/>
      <c r="Q36" s="577"/>
      <c r="R36" s="577"/>
      <c r="S36" s="577"/>
      <c r="T36" s="577"/>
      <c r="U36" s="577"/>
      <c r="V36" s="577"/>
      <c r="W36" s="577"/>
      <c r="X36" s="577"/>
      <c r="Y36" s="577"/>
      <c r="Z36" s="577"/>
      <c r="AA36" s="577"/>
      <c r="AB36" s="577"/>
      <c r="AC36" s="577"/>
      <c r="AD36" s="577"/>
      <c r="AE36" s="577"/>
      <c r="AF36" s="577"/>
      <c r="AG36" s="577"/>
      <c r="AH36" s="577"/>
      <c r="AI36" s="577"/>
      <c r="AJ36" s="577"/>
      <c r="AK36" s="577"/>
      <c r="AL36" s="578"/>
    </row>
    <row r="37" spans="1:38" s="525" customFormat="1" ht="15.75" customHeight="1" collapsed="1" thickBot="1" x14ac:dyDescent="0.3">
      <c r="A37" s="551"/>
      <c r="B37" s="552"/>
      <c r="C37" s="560" t="s">
        <v>26</v>
      </c>
      <c r="D37" s="605">
        <f t="shared" ref="D37:AL37" si="15">SUM(D21+D22+D23+D29+D30+D31+D32+D33+D34+D35+D36)</f>
        <v>1486907</v>
      </c>
      <c r="E37" s="602">
        <f t="shared" si="15"/>
        <v>37819</v>
      </c>
      <c r="F37" s="570">
        <f t="shared" si="15"/>
        <v>393000</v>
      </c>
      <c r="G37" s="570">
        <f t="shared" si="15"/>
        <v>67380</v>
      </c>
      <c r="H37" s="570">
        <f t="shared" si="15"/>
        <v>20000</v>
      </c>
      <c r="I37" s="570">
        <f t="shared" si="15"/>
        <v>20000</v>
      </c>
      <c r="J37" s="570">
        <f t="shared" si="15"/>
        <v>5000</v>
      </c>
      <c r="K37" s="570">
        <f t="shared" si="15"/>
        <v>10000</v>
      </c>
      <c r="L37" s="570">
        <f t="shared" ref="L37" si="16">SUM(L21+L22+L23+L29+L30+L31+L32+L33+L34+L35+L36)</f>
        <v>2270</v>
      </c>
      <c r="M37" s="570">
        <f t="shared" si="15"/>
        <v>24322</v>
      </c>
      <c r="N37" s="570">
        <f t="shared" ref="N37:R37" si="17">SUM(N21+N22+N23+N29+N30+N31+N32+N33+N34+N35+N36)</f>
        <v>17166</v>
      </c>
      <c r="O37" s="570">
        <f t="shared" si="17"/>
        <v>7297</v>
      </c>
      <c r="P37" s="570">
        <f t="shared" si="17"/>
        <v>29069</v>
      </c>
      <c r="Q37" s="570">
        <f t="shared" si="17"/>
        <v>21729</v>
      </c>
      <c r="R37" s="570">
        <f t="shared" si="17"/>
        <v>21079</v>
      </c>
      <c r="S37" s="570">
        <f t="shared" ref="S37:V37" si="18">SUM(S21+S22+S23+S29+S30+S31+S32+S33+S34+S35+S36)</f>
        <v>24375</v>
      </c>
      <c r="T37" s="570">
        <f t="shared" si="18"/>
        <v>11578</v>
      </c>
      <c r="U37" s="570">
        <f t="shared" ref="U37" si="19">SUM(U21+U22+U23+U29+U30+U31+U32+U33+U34+U35+U36)</f>
        <v>14292</v>
      </c>
      <c r="V37" s="570">
        <f t="shared" si="18"/>
        <v>81548</v>
      </c>
      <c r="W37" s="570">
        <f t="shared" si="15"/>
        <v>0</v>
      </c>
      <c r="X37" s="570">
        <f t="shared" si="15"/>
        <v>152218</v>
      </c>
      <c r="Y37" s="570">
        <f t="shared" si="15"/>
        <v>11155</v>
      </c>
      <c r="Z37" s="570">
        <f t="shared" si="15"/>
        <v>27080</v>
      </c>
      <c r="AA37" s="570">
        <f t="shared" si="15"/>
        <v>24870</v>
      </c>
      <c r="AB37" s="570">
        <f t="shared" si="15"/>
        <v>21071</v>
      </c>
      <c r="AC37" s="570">
        <f t="shared" si="15"/>
        <v>26560</v>
      </c>
      <c r="AD37" s="570">
        <f t="shared" si="15"/>
        <v>20173</v>
      </c>
      <c r="AE37" s="570">
        <f t="shared" si="15"/>
        <v>17883</v>
      </c>
      <c r="AF37" s="570">
        <f t="shared" si="15"/>
        <v>25815</v>
      </c>
      <c r="AG37" s="570">
        <f t="shared" si="15"/>
        <v>18597</v>
      </c>
      <c r="AH37" s="570">
        <f t="shared" ref="AH37" si="20">SUM(AH21+AH22+AH23+AH29+AH30+AH31+AH32+AH33+AH34+AH35+AH36)</f>
        <v>523</v>
      </c>
      <c r="AI37" s="570">
        <f>SUM(AI21+AI22+AI23+AI29+AI30+AI31+AI32+AI33+AI34+AI35+AI36)</f>
        <v>6930</v>
      </c>
      <c r="AJ37" s="570">
        <f t="shared" si="15"/>
        <v>36800</v>
      </c>
      <c r="AK37" s="570">
        <f t="shared" si="15"/>
        <v>269371</v>
      </c>
      <c r="AL37" s="571">
        <f t="shared" si="15"/>
        <v>19937</v>
      </c>
    </row>
    <row r="38" spans="1:38" s="496" customFormat="1" ht="12.6" customHeight="1" x14ac:dyDescent="0.2">
      <c r="A38" s="498"/>
      <c r="B38" s="498"/>
      <c r="C38" s="568"/>
      <c r="D38" s="569">
        <f t="shared" ref="D38:AL38" si="21">D17-D37</f>
        <v>-0.42999999993480742</v>
      </c>
      <c r="E38" s="517">
        <f t="shared" si="21"/>
        <v>0</v>
      </c>
      <c r="F38" s="517">
        <f t="shared" si="21"/>
        <v>0</v>
      </c>
      <c r="G38" s="517">
        <f t="shared" si="21"/>
        <v>0</v>
      </c>
      <c r="H38" s="517">
        <f t="shared" si="21"/>
        <v>0</v>
      </c>
      <c r="I38" s="517">
        <f t="shared" si="21"/>
        <v>0</v>
      </c>
      <c r="J38" s="517">
        <f t="shared" si="21"/>
        <v>0</v>
      </c>
      <c r="K38" s="517">
        <f t="shared" si="21"/>
        <v>0</v>
      </c>
      <c r="L38" s="517">
        <f t="shared" ref="L38" si="22">L17-L37</f>
        <v>0</v>
      </c>
      <c r="M38" s="517">
        <f t="shared" si="21"/>
        <v>0</v>
      </c>
      <c r="N38" s="517">
        <f t="shared" ref="N38:R38" si="23">N17-N37</f>
        <v>-0.43000000000029104</v>
      </c>
      <c r="O38" s="517">
        <f t="shared" si="23"/>
        <v>0</v>
      </c>
      <c r="P38" s="517">
        <f t="shared" si="23"/>
        <v>0</v>
      </c>
      <c r="Q38" s="517">
        <f t="shared" si="23"/>
        <v>0</v>
      </c>
      <c r="R38" s="517">
        <f t="shared" si="23"/>
        <v>0</v>
      </c>
      <c r="S38" s="517">
        <f t="shared" ref="S38:V38" si="24">S17-S37</f>
        <v>0</v>
      </c>
      <c r="T38" s="517">
        <f t="shared" si="24"/>
        <v>0</v>
      </c>
      <c r="U38" s="517">
        <f t="shared" ref="U38" si="25">U17-U37</f>
        <v>0</v>
      </c>
      <c r="V38" s="517">
        <f t="shared" si="24"/>
        <v>0</v>
      </c>
      <c r="W38" s="517">
        <f t="shared" si="21"/>
        <v>0</v>
      </c>
      <c r="X38" s="517">
        <f t="shared" si="21"/>
        <v>0</v>
      </c>
      <c r="Y38" s="517">
        <f t="shared" si="21"/>
        <v>0</v>
      </c>
      <c r="Z38" s="517">
        <f t="shared" si="21"/>
        <v>0</v>
      </c>
      <c r="AA38" s="517">
        <f t="shared" si="21"/>
        <v>0</v>
      </c>
      <c r="AB38" s="517">
        <f t="shared" si="21"/>
        <v>0</v>
      </c>
      <c r="AC38" s="517">
        <f t="shared" si="21"/>
        <v>0</v>
      </c>
      <c r="AD38" s="517">
        <f t="shared" si="21"/>
        <v>0</v>
      </c>
      <c r="AE38" s="517">
        <f t="shared" si="21"/>
        <v>0</v>
      </c>
      <c r="AF38" s="517">
        <f t="shared" si="21"/>
        <v>0</v>
      </c>
      <c r="AG38" s="517">
        <f t="shared" si="21"/>
        <v>0</v>
      </c>
      <c r="AH38" s="517">
        <f t="shared" ref="AH38" si="26">AH17-AH37</f>
        <v>0</v>
      </c>
      <c r="AI38" s="517">
        <f>AI17-AI37</f>
        <v>0</v>
      </c>
      <c r="AJ38" s="517">
        <f t="shared" si="21"/>
        <v>0</v>
      </c>
      <c r="AK38" s="517">
        <f t="shared" si="21"/>
        <v>0</v>
      </c>
      <c r="AL38" s="517">
        <f t="shared" si="21"/>
        <v>0</v>
      </c>
    </row>
    <row r="39" spans="1:38" x14ac:dyDescent="0.2">
      <c r="C39" s="526"/>
      <c r="D39" s="527"/>
      <c r="E39" s="516"/>
      <c r="F39" s="516"/>
      <c r="G39" s="516"/>
      <c r="H39" s="516"/>
      <c r="I39" s="516"/>
      <c r="J39" s="528"/>
      <c r="K39" s="528"/>
      <c r="L39" s="528"/>
      <c r="M39" s="516"/>
      <c r="N39" s="516"/>
      <c r="O39" s="516"/>
      <c r="P39" s="516"/>
      <c r="Q39" s="516"/>
      <c r="R39" s="516"/>
      <c r="S39" s="516"/>
      <c r="T39" s="516"/>
      <c r="U39" s="516"/>
      <c r="V39" s="516"/>
      <c r="W39" s="516"/>
      <c r="X39" s="516"/>
      <c r="Y39" s="516"/>
      <c r="Z39" s="516"/>
      <c r="AA39" s="516"/>
      <c r="AB39" s="516"/>
      <c r="AC39" s="516"/>
      <c r="AD39" s="516"/>
      <c r="AE39" s="516"/>
      <c r="AF39" s="516"/>
      <c r="AG39" s="516"/>
      <c r="AH39" s="516"/>
      <c r="AI39" s="516"/>
      <c r="AJ39" s="516"/>
      <c r="AK39" s="516"/>
      <c r="AL39" s="516"/>
    </row>
    <row r="40" spans="1:38" ht="12.6" customHeight="1" x14ac:dyDescent="0.25">
      <c r="C40" s="8" t="s">
        <v>123</v>
      </c>
      <c r="D40" s="1" t="s">
        <v>38</v>
      </c>
      <c r="E40" s="473"/>
      <c r="F40" s="473"/>
      <c r="G40" s="473"/>
      <c r="H40" s="473"/>
      <c r="I40" s="473"/>
      <c r="J40" s="473"/>
      <c r="K40" s="473"/>
      <c r="L40" s="473"/>
      <c r="M40" s="473"/>
      <c r="N40" s="473"/>
      <c r="O40" s="473"/>
      <c r="P40" s="473"/>
      <c r="Q40" s="473"/>
      <c r="R40" s="473"/>
      <c r="S40" s="473"/>
      <c r="T40" s="473"/>
      <c r="U40" s="473"/>
      <c r="V40" s="473"/>
      <c r="W40" s="487"/>
      <c r="X40" s="473"/>
      <c r="Y40" s="473"/>
      <c r="Z40" s="473"/>
      <c r="AA40" s="473"/>
      <c r="AB40" s="473"/>
      <c r="AC40" s="473"/>
      <c r="AD40" s="473"/>
      <c r="AE40" s="473"/>
      <c r="AF40" s="473"/>
      <c r="AG40" s="473"/>
      <c r="AH40" s="473"/>
      <c r="AI40" s="473"/>
      <c r="AJ40" s="473"/>
      <c r="AK40" s="473"/>
      <c r="AL40" s="473"/>
    </row>
    <row r="41" spans="1:38" ht="12.6" customHeight="1" x14ac:dyDescent="0.2">
      <c r="D41" s="529"/>
      <c r="E41" s="473"/>
      <c r="F41" s="473"/>
      <c r="G41" s="473"/>
      <c r="H41" s="473"/>
      <c r="I41" s="473"/>
      <c r="J41" s="487"/>
      <c r="K41" s="487"/>
      <c r="L41" s="487"/>
      <c r="M41" s="473"/>
      <c r="N41" s="473"/>
      <c r="O41" s="473"/>
      <c r="P41" s="473"/>
      <c r="Q41" s="473"/>
      <c r="R41" s="473"/>
      <c r="S41" s="473"/>
      <c r="T41" s="473"/>
      <c r="U41" s="473"/>
      <c r="V41" s="473"/>
      <c r="W41" s="473"/>
      <c r="X41" s="473"/>
      <c r="Y41" s="473"/>
      <c r="Z41" s="473"/>
      <c r="AA41" s="473"/>
      <c r="AB41" s="473"/>
      <c r="AC41" s="473"/>
      <c r="AD41" s="473"/>
      <c r="AE41" s="473"/>
      <c r="AF41" s="473"/>
      <c r="AG41" s="473"/>
      <c r="AH41" s="473"/>
      <c r="AI41" s="473"/>
      <c r="AJ41" s="473"/>
      <c r="AK41" s="473"/>
      <c r="AL41" s="473"/>
    </row>
    <row r="42" spans="1:38" s="473" customFormat="1" ht="12.6" customHeight="1" x14ac:dyDescent="0.2">
      <c r="C42" s="530"/>
      <c r="D42" s="529"/>
      <c r="W42" s="490"/>
    </row>
    <row r="43" spans="1:38" ht="12.6" customHeight="1" x14ac:dyDescent="0.2">
      <c r="D43" s="529"/>
      <c r="E43" s="473"/>
      <c r="F43" s="473"/>
      <c r="G43" s="473"/>
      <c r="H43" s="473"/>
      <c r="I43" s="473"/>
      <c r="J43" s="487"/>
      <c r="K43" s="487"/>
      <c r="L43" s="487"/>
      <c r="M43" s="473"/>
      <c r="N43" s="473"/>
      <c r="O43" s="473"/>
      <c r="P43" s="473"/>
      <c r="Q43" s="473"/>
      <c r="R43" s="473"/>
      <c r="S43" s="473"/>
      <c r="T43" s="473"/>
      <c r="U43" s="473"/>
      <c r="V43" s="473"/>
      <c r="X43" s="473"/>
      <c r="Y43" s="473"/>
      <c r="Z43" s="473"/>
      <c r="AA43" s="473"/>
      <c r="AB43" s="473"/>
      <c r="AC43" s="473"/>
      <c r="AD43" s="473"/>
      <c r="AE43" s="473"/>
      <c r="AF43" s="473"/>
      <c r="AG43" s="473"/>
      <c r="AH43" s="473"/>
      <c r="AI43" s="473"/>
      <c r="AJ43" s="473"/>
      <c r="AK43" s="473"/>
      <c r="AL43" s="473"/>
    </row>
    <row r="44" spans="1:38" s="485" customFormat="1" ht="12.6" customHeight="1" x14ac:dyDescent="0.2">
      <c r="C44" s="531"/>
      <c r="D44" s="532"/>
      <c r="H44" s="487"/>
      <c r="I44" s="487"/>
      <c r="J44" s="487"/>
      <c r="K44" s="487"/>
      <c r="L44" s="487"/>
      <c r="W44" s="490"/>
      <c r="X44" s="487"/>
    </row>
    <row r="45" spans="1:38" s="473" customFormat="1" ht="12.6" customHeight="1" x14ac:dyDescent="0.2">
      <c r="C45" s="533"/>
      <c r="W45" s="490"/>
    </row>
    <row r="46" spans="1:38" ht="12.6" customHeight="1" x14ac:dyDescent="0.2"/>
    <row r="47" spans="1:38" ht="12.6" customHeight="1" x14ac:dyDescent="0.2"/>
    <row r="48" spans="1:38" ht="12.6" customHeight="1" x14ac:dyDescent="0.2"/>
    <row r="49" ht="12.6" customHeight="1" x14ac:dyDescent="0.2"/>
    <row r="50" ht="12.6" customHeight="1" x14ac:dyDescent="0.2"/>
    <row r="51" ht="12.6" customHeight="1" x14ac:dyDescent="0.2"/>
    <row r="52" ht="12.6" customHeight="1" x14ac:dyDescent="0.2"/>
  </sheetData>
  <pageMargins left="0.11811023622047245" right="0.11811023622047245" top="0.55118110236220474" bottom="0.35433070866141736"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60"/>
  <sheetViews>
    <sheetView workbookViewId="0">
      <pane xSplit="2" ySplit="7" topLeftCell="C8" activePane="bottomRight" state="frozen"/>
      <selection pane="topRight" activeCell="E1" sqref="E1"/>
      <selection pane="bottomLeft" activeCell="A6" sqref="A6"/>
      <selection pane="bottomRight" activeCell="L10" sqref="L10"/>
    </sheetView>
  </sheetViews>
  <sheetFormatPr defaultColWidth="9.140625" defaultRowHeight="15" x14ac:dyDescent="0.25"/>
  <cols>
    <col min="1" max="1" width="7" style="1" customWidth="1"/>
    <col min="2" max="2" width="50.5703125" style="8" customWidth="1"/>
    <col min="3" max="3" width="10" style="1" customWidth="1"/>
    <col min="4" max="4" width="8.7109375" style="1" hidden="1" customWidth="1"/>
    <col min="5" max="5" width="8.5703125" style="1" customWidth="1"/>
    <col min="6" max="6" width="10.5703125" style="1" customWidth="1"/>
    <col min="7" max="7" width="9.28515625" style="1" customWidth="1"/>
    <col min="8" max="8" width="10.140625" style="1" customWidth="1"/>
    <col min="9" max="9" width="9.7109375" style="1" customWidth="1"/>
    <col min="10" max="16384" width="9.140625" style="1"/>
  </cols>
  <sheetData>
    <row r="1" spans="1:8" x14ac:dyDescent="0.25">
      <c r="B1" s="2" t="s">
        <v>0</v>
      </c>
      <c r="F1" s="1" t="s">
        <v>361</v>
      </c>
    </row>
    <row r="3" spans="1:8" x14ac:dyDescent="0.25">
      <c r="A3" s="173" t="s">
        <v>49</v>
      </c>
      <c r="B3" s="173"/>
      <c r="C3" s="173"/>
      <c r="D3" s="173"/>
    </row>
    <row r="4" spans="1:8" x14ac:dyDescent="0.25">
      <c r="B4" s="118" t="s">
        <v>381</v>
      </c>
    </row>
    <row r="5" spans="1:8" x14ac:dyDescent="0.25">
      <c r="A5" s="1074" t="s">
        <v>50</v>
      </c>
      <c r="B5" s="1074"/>
      <c r="C5" s="103" t="s">
        <v>194</v>
      </c>
      <c r="D5" s="117" t="s">
        <v>226</v>
      </c>
      <c r="E5" s="103" t="s">
        <v>40</v>
      </c>
      <c r="F5" s="103" t="s">
        <v>204</v>
      </c>
      <c r="G5" s="103" t="s">
        <v>195</v>
      </c>
      <c r="H5" s="103" t="s">
        <v>196</v>
      </c>
    </row>
    <row r="6" spans="1:8" s="120" customFormat="1" ht="120.75" thickBot="1" x14ac:dyDescent="0.3">
      <c r="C6" s="119" t="s">
        <v>48</v>
      </c>
      <c r="D6" s="274" t="s">
        <v>227</v>
      </c>
      <c r="E6" s="119" t="s">
        <v>41</v>
      </c>
      <c r="F6" s="251" t="s">
        <v>205</v>
      </c>
      <c r="G6" s="119" t="s">
        <v>794</v>
      </c>
      <c r="H6" s="119" t="s">
        <v>793</v>
      </c>
    </row>
    <row r="7" spans="1:8" ht="33" customHeight="1" thickBot="1" x14ac:dyDescent="0.35">
      <c r="A7" s="187" t="s">
        <v>7</v>
      </c>
      <c r="B7" s="188" t="s">
        <v>10</v>
      </c>
      <c r="C7" s="60" t="s">
        <v>382</v>
      </c>
      <c r="D7" s="60" t="s">
        <v>382</v>
      </c>
      <c r="E7" s="60" t="s">
        <v>382</v>
      </c>
      <c r="F7" s="60" t="s">
        <v>382</v>
      </c>
      <c r="G7" s="60" t="s">
        <v>382</v>
      </c>
      <c r="H7" s="60" t="s">
        <v>382</v>
      </c>
    </row>
    <row r="8" spans="1:8" x14ac:dyDescent="0.25">
      <c r="A8" s="189">
        <v>1100</v>
      </c>
      <c r="B8" s="168" t="s">
        <v>11</v>
      </c>
      <c r="C8" s="126">
        <v>3844271</v>
      </c>
      <c r="D8" s="127"/>
      <c r="E8" s="127"/>
      <c r="F8" s="128"/>
      <c r="G8" s="127"/>
      <c r="H8" s="128"/>
    </row>
    <row r="9" spans="1:8" ht="30" customHeight="1" x14ac:dyDescent="0.25">
      <c r="A9" s="190">
        <v>1200</v>
      </c>
      <c r="B9" s="67" t="s">
        <v>12</v>
      </c>
      <c r="C9" s="68">
        <v>1106752</v>
      </c>
      <c r="D9" s="132"/>
      <c r="E9" s="139"/>
      <c r="F9" s="107"/>
      <c r="G9" s="139"/>
      <c r="H9" s="107"/>
    </row>
    <row r="10" spans="1:8" x14ac:dyDescent="0.25">
      <c r="A10" s="190">
        <v>2000</v>
      </c>
      <c r="B10" s="67" t="s">
        <v>13</v>
      </c>
      <c r="C10" s="68">
        <f t="shared" ref="C10:H10" si="0">SUM(C11:C15)</f>
        <v>960725</v>
      </c>
      <c r="D10" s="68">
        <f t="shared" si="0"/>
        <v>0</v>
      </c>
      <c r="E10" s="132">
        <f t="shared" si="0"/>
        <v>146400</v>
      </c>
      <c r="F10" s="68"/>
      <c r="G10" s="132">
        <f t="shared" si="0"/>
        <v>0</v>
      </c>
      <c r="H10" s="68">
        <f t="shared" si="0"/>
        <v>1483845</v>
      </c>
    </row>
    <row r="11" spans="1:8" x14ac:dyDescent="0.25">
      <c r="A11" s="190">
        <v>2100</v>
      </c>
      <c r="B11" s="67" t="s">
        <v>14</v>
      </c>
      <c r="C11" s="257">
        <v>10664</v>
      </c>
      <c r="D11" s="271"/>
      <c r="E11" s="139"/>
      <c r="F11" s="107"/>
      <c r="G11" s="139"/>
      <c r="H11" s="107"/>
    </row>
    <row r="12" spans="1:8" x14ac:dyDescent="0.25">
      <c r="A12" s="190">
        <v>2200</v>
      </c>
      <c r="B12" s="67" t="s">
        <v>15</v>
      </c>
      <c r="C12" s="76">
        <f>827657-5000</f>
        <v>822657</v>
      </c>
      <c r="D12" s="191"/>
      <c r="E12" s="191">
        <v>146400</v>
      </c>
      <c r="F12" s="107"/>
      <c r="G12" s="134"/>
      <c r="H12" s="133">
        <v>1483845</v>
      </c>
    </row>
    <row r="13" spans="1:8" ht="30" x14ac:dyDescent="0.25">
      <c r="A13" s="190">
        <v>2300</v>
      </c>
      <c r="B13" s="67" t="s">
        <v>16</v>
      </c>
      <c r="C13" s="68">
        <v>122404</v>
      </c>
      <c r="D13" s="132"/>
      <c r="E13" s="139"/>
      <c r="F13" s="107"/>
      <c r="G13" s="134"/>
      <c r="H13" s="107"/>
    </row>
    <row r="14" spans="1:8" x14ac:dyDescent="0.25">
      <c r="A14" s="190">
        <v>2400</v>
      </c>
      <c r="B14" s="131" t="s">
        <v>56</v>
      </c>
      <c r="C14" s="201"/>
      <c r="D14" s="272"/>
      <c r="E14" s="139"/>
      <c r="F14" s="107"/>
      <c r="G14" s="139"/>
      <c r="H14" s="107"/>
    </row>
    <row r="15" spans="1:8" x14ac:dyDescent="0.25">
      <c r="A15" s="190">
        <v>2500</v>
      </c>
      <c r="B15" s="67" t="s">
        <v>17</v>
      </c>
      <c r="C15" s="107">
        <v>5000</v>
      </c>
      <c r="D15" s="139"/>
      <c r="E15" s="139"/>
      <c r="F15" s="107"/>
      <c r="G15" s="139"/>
      <c r="H15" s="107"/>
    </row>
    <row r="16" spans="1:8" s="3" customFormat="1" x14ac:dyDescent="0.25">
      <c r="A16" s="190">
        <v>4200</v>
      </c>
      <c r="B16" s="73" t="s">
        <v>19</v>
      </c>
      <c r="C16" s="107"/>
      <c r="D16" s="139"/>
      <c r="E16" s="139"/>
      <c r="F16" s="107"/>
      <c r="G16" s="139"/>
      <c r="H16" s="107"/>
    </row>
    <row r="17" spans="1:12" x14ac:dyDescent="0.25">
      <c r="A17" s="190">
        <v>4300</v>
      </c>
      <c r="B17" s="67" t="s">
        <v>20</v>
      </c>
      <c r="C17" s="107"/>
      <c r="D17" s="139"/>
      <c r="E17" s="139">
        <v>110739</v>
      </c>
      <c r="F17" s="107"/>
      <c r="G17" s="139"/>
      <c r="H17" s="107"/>
    </row>
    <row r="18" spans="1:12" x14ac:dyDescent="0.25">
      <c r="A18" s="190">
        <v>5100</v>
      </c>
      <c r="B18" s="67" t="s">
        <v>22</v>
      </c>
      <c r="C18" s="257">
        <f>2420</f>
        <v>2420</v>
      </c>
      <c r="D18" s="271"/>
      <c r="E18" s="139"/>
      <c r="F18" s="107"/>
      <c r="G18" s="139"/>
      <c r="H18" s="107"/>
    </row>
    <row r="19" spans="1:12" x14ac:dyDescent="0.25">
      <c r="A19" s="190">
        <v>5200</v>
      </c>
      <c r="B19" s="67" t="s">
        <v>23</v>
      </c>
      <c r="C19" s="19">
        <f>22950+6040+7000+8591</f>
        <v>44581</v>
      </c>
      <c r="D19" s="273"/>
      <c r="E19" s="191"/>
      <c r="F19" s="76"/>
      <c r="G19" s="191"/>
      <c r="H19" s="76"/>
    </row>
    <row r="20" spans="1:12" x14ac:dyDescent="0.25">
      <c r="A20" s="192">
        <v>6200</v>
      </c>
      <c r="B20" s="73" t="s">
        <v>24</v>
      </c>
      <c r="C20" s="19">
        <v>32501</v>
      </c>
      <c r="D20" s="273"/>
      <c r="E20" s="191"/>
      <c r="F20" s="76"/>
      <c r="G20" s="191"/>
      <c r="H20" s="76"/>
    </row>
    <row r="21" spans="1:12" ht="30" x14ac:dyDescent="0.25">
      <c r="A21" s="193">
        <v>6500</v>
      </c>
      <c r="B21" s="9" t="s">
        <v>122</v>
      </c>
      <c r="C21" s="19"/>
      <c r="D21" s="273"/>
      <c r="E21" s="191"/>
      <c r="F21" s="76"/>
      <c r="G21" s="191"/>
      <c r="H21" s="76"/>
    </row>
    <row r="22" spans="1:12" s="3" customFormat="1" x14ac:dyDescent="0.25">
      <c r="A22" s="194">
        <v>7200</v>
      </c>
      <c r="B22" s="131" t="s">
        <v>25</v>
      </c>
      <c r="C22" s="107"/>
      <c r="D22" s="139"/>
      <c r="E22" s="139"/>
      <c r="F22" s="107">
        <v>8000</v>
      </c>
      <c r="G22" s="140">
        <v>690000</v>
      </c>
      <c r="H22" s="107"/>
      <c r="L22" s="3" t="s">
        <v>246</v>
      </c>
    </row>
    <row r="23" spans="1:12" s="3" customFormat="1" ht="30" x14ac:dyDescent="0.25">
      <c r="A23" s="673">
        <v>7400</v>
      </c>
      <c r="B23" s="675" t="s">
        <v>376</v>
      </c>
      <c r="C23" s="107"/>
      <c r="D23" s="139"/>
      <c r="E23" s="139"/>
      <c r="F23" s="107"/>
      <c r="G23" s="140"/>
      <c r="H23" s="107"/>
    </row>
    <row r="24" spans="1:12" s="3" customFormat="1" x14ac:dyDescent="0.25">
      <c r="A24" s="252">
        <v>8100</v>
      </c>
      <c r="B24" s="216" t="s">
        <v>208</v>
      </c>
      <c r="C24" s="107"/>
      <c r="D24" s="139"/>
      <c r="E24" s="139"/>
      <c r="F24" s="107"/>
      <c r="G24" s="140"/>
      <c r="H24" s="107"/>
    </row>
    <row r="25" spans="1:12" ht="19.5" customHeight="1" thickBot="1" x14ac:dyDescent="0.3">
      <c r="A25" s="195">
        <v>9200</v>
      </c>
      <c r="B25" s="196" t="s">
        <v>117</v>
      </c>
      <c r="C25" s="197"/>
      <c r="D25" s="198"/>
      <c r="E25" s="198"/>
      <c r="F25" s="200"/>
      <c r="G25" s="199"/>
      <c r="H25" s="201"/>
    </row>
    <row r="26" spans="1:12" ht="15.75" thickBot="1" x14ac:dyDescent="0.3">
      <c r="A26" s="202"/>
      <c r="B26" s="172" t="s">
        <v>26</v>
      </c>
      <c r="C26" s="97">
        <f>SUM(C8+C9+C10+C16+C17+C18+C19+C20+C21+C22+C24)</f>
        <v>5991250</v>
      </c>
      <c r="D26" s="97">
        <f>SUM(D8+D9+D10+D16+D17+D18+D19+D20+D21+D22+D24)</f>
        <v>0</v>
      </c>
      <c r="E26" s="203">
        <f>SUM(E8+E9+E10+E16+E17+E18+E19+E22)</f>
        <v>257139</v>
      </c>
      <c r="F26" s="203">
        <f>SUM(F8+F9+F10+F16+F17+F18+F19+F22+F23+F24+F25)</f>
        <v>8000</v>
      </c>
      <c r="G26" s="250">
        <f>SUM(G8+G9+G10+G16+G17+G18+G19+G22+G25)</f>
        <v>690000</v>
      </c>
      <c r="H26" s="203">
        <f>SUM(H8+H9+H10+H16+H17+H18+H19+H22)</f>
        <v>1483845</v>
      </c>
    </row>
    <row r="27" spans="1:12" x14ac:dyDescent="0.25">
      <c r="A27" s="4"/>
      <c r="B27" s="53"/>
      <c r="C27" s="4"/>
      <c r="D27" s="4"/>
    </row>
    <row r="28" spans="1:12" x14ac:dyDescent="0.25">
      <c r="B28" s="8" t="s">
        <v>123</v>
      </c>
      <c r="C28" s="204"/>
      <c r="D28" s="204"/>
      <c r="E28" s="1" t="s">
        <v>38</v>
      </c>
    </row>
    <row r="29" spans="1:12" x14ac:dyDescent="0.25">
      <c r="C29" s="8"/>
      <c r="D29" s="8"/>
    </row>
    <row r="30" spans="1:12" x14ac:dyDescent="0.25">
      <c r="C30" s="337"/>
      <c r="D30" s="337"/>
      <c r="E30" s="334"/>
      <c r="F30" s="334"/>
      <c r="G30" s="334"/>
      <c r="H30" s="334"/>
    </row>
    <row r="31" spans="1:12" x14ac:dyDescent="0.25">
      <c r="B31" s="1083"/>
      <c r="C31" s="1083"/>
      <c r="D31" s="1083"/>
      <c r="E31" s="1083"/>
      <c r="F31" s="1083"/>
      <c r="G31" s="1083"/>
      <c r="H31" s="1083"/>
      <c r="I31" s="1083"/>
      <c r="J31" s="205"/>
    </row>
    <row r="32" spans="1:12" x14ac:dyDescent="0.25">
      <c r="B32" s="2"/>
      <c r="C32" s="709"/>
      <c r="D32" s="709"/>
      <c r="E32" s="709"/>
      <c r="F32" s="709"/>
      <c r="G32" s="709"/>
      <c r="H32" s="709"/>
      <c r="I32" s="709"/>
      <c r="J32" s="205"/>
    </row>
    <row r="33" spans="2:12" x14ac:dyDescent="0.25">
      <c r="B33" s="722"/>
      <c r="C33" s="723"/>
      <c r="D33" s="723"/>
      <c r="E33" s="723"/>
      <c r="F33" s="723"/>
      <c r="G33" s="723"/>
      <c r="H33" s="723"/>
    </row>
    <row r="34" spans="2:12" x14ac:dyDescent="0.25">
      <c r="C34" s="5"/>
      <c r="D34" s="5"/>
    </row>
    <row r="35" spans="2:12" x14ac:dyDescent="0.25">
      <c r="B35" s="167"/>
    </row>
    <row r="38" spans="2:12" x14ac:dyDescent="0.25">
      <c r="B38" s="206"/>
      <c r="C38" s="6"/>
      <c r="D38" s="6"/>
    </row>
    <row r="39" spans="2:12" x14ac:dyDescent="0.25">
      <c r="B39" s="204"/>
      <c r="C39" s="207"/>
      <c r="D39" s="207"/>
      <c r="K39" s="54"/>
      <c r="L39" s="208"/>
    </row>
    <row r="40" spans="2:12" x14ac:dyDescent="0.25">
      <c r="B40" s="1"/>
      <c r="C40" s="209"/>
      <c r="D40" s="209"/>
      <c r="E40" s="5"/>
      <c r="F40" s="5"/>
      <c r="G40" s="5"/>
      <c r="L40" s="209"/>
    </row>
    <row r="41" spans="2:12" x14ac:dyDescent="0.25">
      <c r="C41" s="209"/>
      <c r="D41" s="209"/>
      <c r="L41" s="209"/>
    </row>
    <row r="42" spans="2:12" x14ac:dyDescent="0.25">
      <c r="C42" s="209"/>
      <c r="D42" s="209"/>
      <c r="L42" s="209"/>
    </row>
    <row r="43" spans="2:12" x14ac:dyDescent="0.25">
      <c r="C43" s="209"/>
      <c r="D43" s="209"/>
      <c r="L43" s="209"/>
    </row>
    <row r="44" spans="2:12" x14ac:dyDescent="0.25">
      <c r="C44" s="209"/>
      <c r="D44" s="209"/>
      <c r="L44" s="210"/>
    </row>
    <row r="45" spans="2:12" x14ac:dyDescent="0.25">
      <c r="C45" s="209"/>
      <c r="D45" s="209"/>
      <c r="L45" s="210"/>
    </row>
    <row r="46" spans="2:12" x14ac:dyDescent="0.25">
      <c r="B46" s="1"/>
      <c r="L46" s="210"/>
    </row>
    <row r="47" spans="2:12" x14ac:dyDescent="0.25">
      <c r="C47" s="209"/>
      <c r="D47" s="209"/>
      <c r="K47" s="3"/>
      <c r="L47" s="208"/>
    </row>
    <row r="48" spans="2:12" x14ac:dyDescent="0.25">
      <c r="B48" s="118"/>
      <c r="C48" s="211"/>
      <c r="D48" s="211"/>
      <c r="K48" s="3"/>
      <c r="L48" s="208"/>
    </row>
    <row r="49" spans="2:12" x14ac:dyDescent="0.25">
      <c r="C49" s="209"/>
      <c r="D49" s="209"/>
      <c r="H49" s="3"/>
      <c r="I49" s="3"/>
      <c r="J49" s="3"/>
      <c r="L49" s="208"/>
    </row>
    <row r="50" spans="2:12" x14ac:dyDescent="0.25">
      <c r="B50" s="118"/>
      <c r="C50" s="211"/>
      <c r="D50" s="211"/>
      <c r="H50" s="54"/>
      <c r="I50" s="54"/>
      <c r="J50" s="54"/>
    </row>
    <row r="51" spans="2:12" x14ac:dyDescent="0.25">
      <c r="B51" s="118"/>
      <c r="C51" s="209"/>
      <c r="D51" s="209"/>
      <c r="H51" s="5"/>
      <c r="I51" s="5"/>
      <c r="J51" s="5"/>
      <c r="K51" s="5"/>
      <c r="L51" s="209"/>
    </row>
    <row r="52" spans="2:12" x14ac:dyDescent="0.25">
      <c r="C52" s="209"/>
      <c r="D52" s="209"/>
      <c r="H52" s="1084"/>
      <c r="I52" s="1084"/>
      <c r="L52" s="209"/>
    </row>
    <row r="53" spans="2:12" x14ac:dyDescent="0.25">
      <c r="C53" s="209"/>
      <c r="D53" s="209"/>
      <c r="L53" s="209"/>
    </row>
    <row r="54" spans="2:12" x14ac:dyDescent="0.25">
      <c r="C54" s="209"/>
      <c r="D54" s="209"/>
      <c r="L54" s="210"/>
    </row>
    <row r="55" spans="2:12" x14ac:dyDescent="0.25">
      <c r="C55" s="209"/>
      <c r="D55" s="209"/>
      <c r="L55" s="210"/>
    </row>
    <row r="56" spans="2:12" x14ac:dyDescent="0.25">
      <c r="C56" s="209"/>
      <c r="D56" s="209"/>
      <c r="L56" s="208"/>
    </row>
    <row r="57" spans="2:12" x14ac:dyDescent="0.25">
      <c r="C57" s="211"/>
      <c r="D57" s="211"/>
      <c r="L57" s="210"/>
    </row>
    <row r="58" spans="2:12" x14ac:dyDescent="0.25">
      <c r="L58" s="210"/>
    </row>
    <row r="60" spans="2:12" x14ac:dyDescent="0.25">
      <c r="E60" s="5"/>
      <c r="F60" s="5"/>
      <c r="G60" s="5"/>
      <c r="H60" s="5"/>
      <c r="I60" s="5"/>
      <c r="J60" s="5"/>
    </row>
  </sheetData>
  <mergeCells count="3">
    <mergeCell ref="A5:B5"/>
    <mergeCell ref="B31:I31"/>
    <mergeCell ref="H52:I52"/>
  </mergeCells>
  <phoneticPr fontId="0" type="noConversion"/>
  <pageMargins left="0.15748031496062992" right="0.15748031496062992" top="0.19685039370078741" bottom="0.59055118110236227" header="0.11811023622047245" footer="0.51181102362204722"/>
  <pageSetup paperSize="9" scale="8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5"/>
  <sheetViews>
    <sheetView workbookViewId="0">
      <selection activeCell="E7" sqref="E7"/>
    </sheetView>
  </sheetViews>
  <sheetFormatPr defaultColWidth="8.85546875" defaultRowHeight="12.75" x14ac:dyDescent="0.2"/>
  <cols>
    <col min="1" max="1" width="7.28515625" style="25" customWidth="1"/>
    <col min="2" max="2" width="47.140625" style="25" customWidth="1"/>
    <col min="3" max="3" width="11" style="25" customWidth="1"/>
    <col min="4" max="16384" width="8.85546875" style="25"/>
  </cols>
  <sheetData>
    <row r="1" spans="1:6" x14ac:dyDescent="0.2">
      <c r="B1" s="25" t="s">
        <v>361</v>
      </c>
    </row>
    <row r="2" spans="1:6" ht="15" x14ac:dyDescent="0.25">
      <c r="B2" s="954" t="s">
        <v>0</v>
      </c>
    </row>
    <row r="4" spans="1:6" ht="14.25" x14ac:dyDescent="0.2">
      <c r="A4" s="173" t="s">
        <v>49</v>
      </c>
      <c r="B4" s="173"/>
      <c r="C4" s="173"/>
    </row>
    <row r="5" spans="1:6" ht="14.25" customHeight="1" x14ac:dyDescent="0.2">
      <c r="A5" s="173" t="s">
        <v>381</v>
      </c>
      <c r="B5" s="173"/>
      <c r="C5" s="173"/>
    </row>
    <row r="6" spans="1:6" ht="15" x14ac:dyDescent="0.25">
      <c r="A6" s="1"/>
      <c r="B6" s="173"/>
      <c r="C6" s="117" t="s">
        <v>197</v>
      </c>
    </row>
    <row r="7" spans="1:6" ht="15.75" thickBot="1" x14ac:dyDescent="0.3">
      <c r="A7" s="120"/>
      <c r="B7" s="120"/>
      <c r="C7" s="119" t="s">
        <v>59</v>
      </c>
    </row>
    <row r="8" spans="1:6" ht="33" customHeight="1" thickBot="1" x14ac:dyDescent="0.35">
      <c r="A8" s="212" t="s">
        <v>7</v>
      </c>
      <c r="B8" s="188" t="s">
        <v>10</v>
      </c>
      <c r="C8" s="59" t="s">
        <v>382</v>
      </c>
    </row>
    <row r="9" spans="1:6" ht="15" x14ac:dyDescent="0.25">
      <c r="A9" s="157">
        <v>1100</v>
      </c>
      <c r="B9" s="168" t="s">
        <v>11</v>
      </c>
      <c r="C9" s="128">
        <v>391120</v>
      </c>
      <c r="F9" s="4"/>
    </row>
    <row r="10" spans="1:6" ht="30" x14ac:dyDescent="0.25">
      <c r="A10" s="66">
        <v>1200</v>
      </c>
      <c r="B10" s="67" t="s">
        <v>12</v>
      </c>
      <c r="C10" s="68">
        <v>115666</v>
      </c>
      <c r="F10" s="682"/>
    </row>
    <row r="11" spans="1:6" ht="15" x14ac:dyDescent="0.25">
      <c r="A11" s="66">
        <v>2000</v>
      </c>
      <c r="B11" s="67" t="s">
        <v>13</v>
      </c>
      <c r="C11" s="68">
        <f>SUM(C12:C16)</f>
        <v>40977</v>
      </c>
      <c r="F11" s="682"/>
    </row>
    <row r="12" spans="1:6" ht="15" x14ac:dyDescent="0.25">
      <c r="A12" s="66">
        <v>2100</v>
      </c>
      <c r="B12" s="67" t="s">
        <v>14</v>
      </c>
      <c r="C12" s="107">
        <v>300</v>
      </c>
      <c r="F12" s="4"/>
    </row>
    <row r="13" spans="1:6" ht="15" x14ac:dyDescent="0.25">
      <c r="A13" s="66">
        <v>2200</v>
      </c>
      <c r="B13" s="67" t="s">
        <v>15</v>
      </c>
      <c r="C13" s="68">
        <v>21387</v>
      </c>
      <c r="F13" s="682"/>
    </row>
    <row r="14" spans="1:6" ht="29.25" customHeight="1" x14ac:dyDescent="0.25">
      <c r="A14" s="66">
        <v>2300</v>
      </c>
      <c r="B14" s="67" t="s">
        <v>16</v>
      </c>
      <c r="C14" s="68">
        <v>19290</v>
      </c>
      <c r="F14" s="682"/>
    </row>
    <row r="15" spans="1:6" ht="15" x14ac:dyDescent="0.25">
      <c r="A15" s="66">
        <v>2400</v>
      </c>
      <c r="B15" s="131" t="s">
        <v>56</v>
      </c>
      <c r="C15" s="107"/>
      <c r="F15" s="4"/>
    </row>
    <row r="16" spans="1:6" ht="15" x14ac:dyDescent="0.25">
      <c r="A16" s="66">
        <v>2500</v>
      </c>
      <c r="B16" s="67" t="s">
        <v>17</v>
      </c>
      <c r="C16" s="107"/>
      <c r="F16" s="4"/>
    </row>
    <row r="17" spans="1:6" ht="15" x14ac:dyDescent="0.25">
      <c r="A17" s="66">
        <v>4200</v>
      </c>
      <c r="B17" s="73" t="s">
        <v>19</v>
      </c>
      <c r="C17" s="107"/>
      <c r="F17" s="4"/>
    </row>
    <row r="18" spans="1:6" ht="15" x14ac:dyDescent="0.25">
      <c r="A18" s="66">
        <v>4300</v>
      </c>
      <c r="B18" s="67" t="s">
        <v>20</v>
      </c>
      <c r="C18" s="107"/>
      <c r="F18" s="4"/>
    </row>
    <row r="19" spans="1:6" ht="15" x14ac:dyDescent="0.25">
      <c r="A19" s="66">
        <v>5100</v>
      </c>
      <c r="B19" s="67" t="s">
        <v>22</v>
      </c>
      <c r="C19" s="107"/>
      <c r="F19" s="4"/>
    </row>
    <row r="20" spans="1:6" ht="15" x14ac:dyDescent="0.25">
      <c r="A20" s="66">
        <v>5200</v>
      </c>
      <c r="B20" s="67" t="s">
        <v>23</v>
      </c>
      <c r="C20" s="107"/>
      <c r="F20" s="4"/>
    </row>
    <row r="21" spans="1:6" ht="15" x14ac:dyDescent="0.25">
      <c r="A21" s="66">
        <v>6200</v>
      </c>
      <c r="B21" s="67" t="s">
        <v>53</v>
      </c>
      <c r="C21" s="107"/>
      <c r="F21" s="413"/>
    </row>
    <row r="22" spans="1:6" ht="30" x14ac:dyDescent="0.25">
      <c r="A22" s="215">
        <v>6500</v>
      </c>
      <c r="B22" s="9" t="s">
        <v>122</v>
      </c>
      <c r="C22" s="107"/>
    </row>
    <row r="23" spans="1:6" ht="15.75" customHeight="1" thickBot="1" x14ac:dyDescent="0.3">
      <c r="A23" s="130">
        <v>7200</v>
      </c>
      <c r="B23" s="131" t="s">
        <v>25</v>
      </c>
      <c r="C23" s="107"/>
    </row>
    <row r="24" spans="1:6" ht="18" customHeight="1" thickBot="1" x14ac:dyDescent="0.3">
      <c r="A24" s="57"/>
      <c r="B24" s="172" t="s">
        <v>26</v>
      </c>
      <c r="C24" s="97">
        <f>SUM(C9+C10+C11+C17+C18+C19+C20+C21+C22+C23)</f>
        <v>547763</v>
      </c>
    </row>
    <row r="25" spans="1:6" ht="15" x14ac:dyDescent="0.25">
      <c r="A25" s="4"/>
      <c r="B25" s="53"/>
    </row>
    <row r="26" spans="1:6" ht="15" x14ac:dyDescent="0.25">
      <c r="A26" s="1"/>
      <c r="B26" s="8" t="s">
        <v>123</v>
      </c>
      <c r="C26" s="1" t="s">
        <v>38</v>
      </c>
    </row>
    <row r="27" spans="1:6" ht="15" x14ac:dyDescent="0.25">
      <c r="A27" s="1"/>
      <c r="B27" s="8"/>
      <c r="C27" s="1"/>
    </row>
    <row r="29" spans="1:6" ht="15" x14ac:dyDescent="0.25">
      <c r="B29" s="2"/>
    </row>
    <row r="30" spans="1:6" ht="14.25" x14ac:dyDescent="0.2">
      <c r="B30" s="722"/>
    </row>
    <row r="35" spans="2:3" s="100" customFormat="1" ht="15.75" x14ac:dyDescent="0.25">
      <c r="B35" s="213"/>
      <c r="C35" s="214"/>
    </row>
  </sheetData>
  <phoneticPr fontId="0" type="noConversion"/>
  <pageMargins left="1.82" right="0.74803149606299213" top="0.59055118110236227" bottom="0.59055118110236227"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9"/>
  <sheetViews>
    <sheetView zoomScaleNormal="100" workbookViewId="0">
      <selection activeCell="I30" sqref="I30"/>
    </sheetView>
  </sheetViews>
  <sheetFormatPr defaultRowHeight="11.25" x14ac:dyDescent="0.2"/>
  <cols>
    <col min="1" max="1" width="5.85546875" style="233" customWidth="1"/>
    <col min="2" max="2" width="54.140625" style="243" customWidth="1"/>
    <col min="3" max="3" width="13.7109375" style="232" customWidth="1"/>
    <col min="4" max="4" width="9.5703125" style="233" customWidth="1"/>
    <col min="5" max="251" width="9.140625" style="233"/>
    <col min="252" max="252" width="5.85546875" style="233" customWidth="1"/>
    <col min="253" max="253" width="54.140625" style="233" customWidth="1"/>
    <col min="254" max="254" width="13.7109375" style="233" customWidth="1"/>
    <col min="255" max="255" width="10" style="233" customWidth="1"/>
    <col min="256" max="256" width="10.28515625" style="233" customWidth="1"/>
    <col min="257" max="259" width="9.140625" style="233"/>
    <col min="260" max="260" width="9.140625" style="233" customWidth="1"/>
    <col min="261" max="507" width="9.140625" style="233"/>
    <col min="508" max="508" width="5.85546875" style="233" customWidth="1"/>
    <col min="509" max="509" width="54.140625" style="233" customWidth="1"/>
    <col min="510" max="510" width="13.7109375" style="233" customWidth="1"/>
    <col min="511" max="511" width="10" style="233" customWidth="1"/>
    <col min="512" max="512" width="10.28515625" style="233" customWidth="1"/>
    <col min="513" max="515" width="9.140625" style="233"/>
    <col min="516" max="516" width="9.140625" style="233" customWidth="1"/>
    <col min="517" max="763" width="9.140625" style="233"/>
    <col min="764" max="764" width="5.85546875" style="233" customWidth="1"/>
    <col min="765" max="765" width="54.140625" style="233" customWidth="1"/>
    <col min="766" max="766" width="13.7109375" style="233" customWidth="1"/>
    <col min="767" max="767" width="10" style="233" customWidth="1"/>
    <col min="768" max="768" width="10.28515625" style="233" customWidth="1"/>
    <col min="769" max="771" width="9.140625" style="233"/>
    <col min="772" max="772" width="9.140625" style="233" customWidth="1"/>
    <col min="773" max="1019" width="9.140625" style="233"/>
    <col min="1020" max="1020" width="5.85546875" style="233" customWidth="1"/>
    <col min="1021" max="1021" width="54.140625" style="233" customWidth="1"/>
    <col min="1022" max="1022" width="13.7109375" style="233" customWidth="1"/>
    <col min="1023" max="1023" width="10" style="233" customWidth="1"/>
    <col min="1024" max="1024" width="10.28515625" style="233" customWidth="1"/>
    <col min="1025" max="1027" width="9.140625" style="233"/>
    <col min="1028" max="1028" width="9.140625" style="233" customWidth="1"/>
    <col min="1029" max="1275" width="9.140625" style="233"/>
    <col min="1276" max="1276" width="5.85546875" style="233" customWidth="1"/>
    <col min="1277" max="1277" width="54.140625" style="233" customWidth="1"/>
    <col min="1278" max="1278" width="13.7109375" style="233" customWidth="1"/>
    <col min="1279" max="1279" width="10" style="233" customWidth="1"/>
    <col min="1280" max="1280" width="10.28515625" style="233" customWidth="1"/>
    <col min="1281" max="1283" width="9.140625" style="233"/>
    <col min="1284" max="1284" width="9.140625" style="233" customWidth="1"/>
    <col min="1285" max="1531" width="9.140625" style="233"/>
    <col min="1532" max="1532" width="5.85546875" style="233" customWidth="1"/>
    <col min="1533" max="1533" width="54.140625" style="233" customWidth="1"/>
    <col min="1534" max="1534" width="13.7109375" style="233" customWidth="1"/>
    <col min="1535" max="1535" width="10" style="233" customWidth="1"/>
    <col min="1536" max="1536" width="10.28515625" style="233" customWidth="1"/>
    <col min="1537" max="1539" width="9.140625" style="233"/>
    <col min="1540" max="1540" width="9.140625" style="233" customWidth="1"/>
    <col min="1541" max="1787" width="9.140625" style="233"/>
    <col min="1788" max="1788" width="5.85546875" style="233" customWidth="1"/>
    <col min="1789" max="1789" width="54.140625" style="233" customWidth="1"/>
    <col min="1790" max="1790" width="13.7109375" style="233" customWidth="1"/>
    <col min="1791" max="1791" width="10" style="233" customWidth="1"/>
    <col min="1792" max="1792" width="10.28515625" style="233" customWidth="1"/>
    <col min="1793" max="1795" width="9.140625" style="233"/>
    <col min="1796" max="1796" width="9.140625" style="233" customWidth="1"/>
    <col min="1797" max="2043" width="9.140625" style="233"/>
    <col min="2044" max="2044" width="5.85546875" style="233" customWidth="1"/>
    <col min="2045" max="2045" width="54.140625" style="233" customWidth="1"/>
    <col min="2046" max="2046" width="13.7109375" style="233" customWidth="1"/>
    <col min="2047" max="2047" width="10" style="233" customWidth="1"/>
    <col min="2048" max="2048" width="10.28515625" style="233" customWidth="1"/>
    <col min="2049" max="2051" width="9.140625" style="233"/>
    <col min="2052" max="2052" width="9.140625" style="233" customWidth="1"/>
    <col min="2053" max="2299" width="9.140625" style="233"/>
    <col min="2300" max="2300" width="5.85546875" style="233" customWidth="1"/>
    <col min="2301" max="2301" width="54.140625" style="233" customWidth="1"/>
    <col min="2302" max="2302" width="13.7109375" style="233" customWidth="1"/>
    <col min="2303" max="2303" width="10" style="233" customWidth="1"/>
    <col min="2304" max="2304" width="10.28515625" style="233" customWidth="1"/>
    <col min="2305" max="2307" width="9.140625" style="233"/>
    <col min="2308" max="2308" width="9.140625" style="233" customWidth="1"/>
    <col min="2309" max="2555" width="9.140625" style="233"/>
    <col min="2556" max="2556" width="5.85546875" style="233" customWidth="1"/>
    <col min="2557" max="2557" width="54.140625" style="233" customWidth="1"/>
    <col min="2558" max="2558" width="13.7109375" style="233" customWidth="1"/>
    <col min="2559" max="2559" width="10" style="233" customWidth="1"/>
    <col min="2560" max="2560" width="10.28515625" style="233" customWidth="1"/>
    <col min="2561" max="2563" width="9.140625" style="233"/>
    <col min="2564" max="2564" width="9.140625" style="233" customWidth="1"/>
    <col min="2565" max="2811" width="9.140625" style="233"/>
    <col min="2812" max="2812" width="5.85546875" style="233" customWidth="1"/>
    <col min="2813" max="2813" width="54.140625" style="233" customWidth="1"/>
    <col min="2814" max="2814" width="13.7109375" style="233" customWidth="1"/>
    <col min="2815" max="2815" width="10" style="233" customWidth="1"/>
    <col min="2816" max="2816" width="10.28515625" style="233" customWidth="1"/>
    <col min="2817" max="2819" width="9.140625" style="233"/>
    <col min="2820" max="2820" width="9.140625" style="233" customWidth="1"/>
    <col min="2821" max="3067" width="9.140625" style="233"/>
    <col min="3068" max="3068" width="5.85546875" style="233" customWidth="1"/>
    <col min="3069" max="3069" width="54.140625" style="233" customWidth="1"/>
    <col min="3070" max="3070" width="13.7109375" style="233" customWidth="1"/>
    <col min="3071" max="3071" width="10" style="233" customWidth="1"/>
    <col min="3072" max="3072" width="10.28515625" style="233" customWidth="1"/>
    <col min="3073" max="3075" width="9.140625" style="233"/>
    <col min="3076" max="3076" width="9.140625" style="233" customWidth="1"/>
    <col min="3077" max="3323" width="9.140625" style="233"/>
    <col min="3324" max="3324" width="5.85546875" style="233" customWidth="1"/>
    <col min="3325" max="3325" width="54.140625" style="233" customWidth="1"/>
    <col min="3326" max="3326" width="13.7109375" style="233" customWidth="1"/>
    <col min="3327" max="3327" width="10" style="233" customWidth="1"/>
    <col min="3328" max="3328" width="10.28515625" style="233" customWidth="1"/>
    <col min="3329" max="3331" width="9.140625" style="233"/>
    <col min="3332" max="3332" width="9.140625" style="233" customWidth="1"/>
    <col min="3333" max="3579" width="9.140625" style="233"/>
    <col min="3580" max="3580" width="5.85546875" style="233" customWidth="1"/>
    <col min="3581" max="3581" width="54.140625" style="233" customWidth="1"/>
    <col min="3582" max="3582" width="13.7109375" style="233" customWidth="1"/>
    <col min="3583" max="3583" width="10" style="233" customWidth="1"/>
    <col min="3584" max="3584" width="10.28515625" style="233" customWidth="1"/>
    <col min="3585" max="3587" width="9.140625" style="233"/>
    <col min="3588" max="3588" width="9.140625" style="233" customWidth="1"/>
    <col min="3589" max="3835" width="9.140625" style="233"/>
    <col min="3836" max="3836" width="5.85546875" style="233" customWidth="1"/>
    <col min="3837" max="3837" width="54.140625" style="233" customWidth="1"/>
    <col min="3838" max="3838" width="13.7109375" style="233" customWidth="1"/>
    <col min="3839" max="3839" width="10" style="233" customWidth="1"/>
    <col min="3840" max="3840" width="10.28515625" style="233" customWidth="1"/>
    <col min="3841" max="3843" width="9.140625" style="233"/>
    <col min="3844" max="3844" width="9.140625" style="233" customWidth="1"/>
    <col min="3845" max="4091" width="9.140625" style="233"/>
    <col min="4092" max="4092" width="5.85546875" style="233" customWidth="1"/>
    <col min="4093" max="4093" width="54.140625" style="233" customWidth="1"/>
    <col min="4094" max="4094" width="13.7109375" style="233" customWidth="1"/>
    <col min="4095" max="4095" width="10" style="233" customWidth="1"/>
    <col min="4096" max="4096" width="10.28515625" style="233" customWidth="1"/>
    <col min="4097" max="4099" width="9.140625" style="233"/>
    <col min="4100" max="4100" width="9.140625" style="233" customWidth="1"/>
    <col min="4101" max="4347" width="9.140625" style="233"/>
    <col min="4348" max="4348" width="5.85546875" style="233" customWidth="1"/>
    <col min="4349" max="4349" width="54.140625" style="233" customWidth="1"/>
    <col min="4350" max="4350" width="13.7109375" style="233" customWidth="1"/>
    <col min="4351" max="4351" width="10" style="233" customWidth="1"/>
    <col min="4352" max="4352" width="10.28515625" style="233" customWidth="1"/>
    <col min="4353" max="4355" width="9.140625" style="233"/>
    <col min="4356" max="4356" width="9.140625" style="233" customWidth="1"/>
    <col min="4357" max="4603" width="9.140625" style="233"/>
    <col min="4604" max="4604" width="5.85546875" style="233" customWidth="1"/>
    <col min="4605" max="4605" width="54.140625" style="233" customWidth="1"/>
    <col min="4606" max="4606" width="13.7109375" style="233" customWidth="1"/>
    <col min="4607" max="4607" width="10" style="233" customWidth="1"/>
    <col min="4608" max="4608" width="10.28515625" style="233" customWidth="1"/>
    <col min="4609" max="4611" width="9.140625" style="233"/>
    <col min="4612" max="4612" width="9.140625" style="233" customWidth="1"/>
    <col min="4613" max="4859" width="9.140625" style="233"/>
    <col min="4860" max="4860" width="5.85546875" style="233" customWidth="1"/>
    <col min="4861" max="4861" width="54.140625" style="233" customWidth="1"/>
    <col min="4862" max="4862" width="13.7109375" style="233" customWidth="1"/>
    <col min="4863" max="4863" width="10" style="233" customWidth="1"/>
    <col min="4864" max="4864" width="10.28515625" style="233" customWidth="1"/>
    <col min="4865" max="4867" width="9.140625" style="233"/>
    <col min="4868" max="4868" width="9.140625" style="233" customWidth="1"/>
    <col min="4869" max="5115" width="9.140625" style="233"/>
    <col min="5116" max="5116" width="5.85546875" style="233" customWidth="1"/>
    <col min="5117" max="5117" width="54.140625" style="233" customWidth="1"/>
    <col min="5118" max="5118" width="13.7109375" style="233" customWidth="1"/>
    <col min="5119" max="5119" width="10" style="233" customWidth="1"/>
    <col min="5120" max="5120" width="10.28515625" style="233" customWidth="1"/>
    <col min="5121" max="5123" width="9.140625" style="233"/>
    <col min="5124" max="5124" width="9.140625" style="233" customWidth="1"/>
    <col min="5125" max="5371" width="9.140625" style="233"/>
    <col min="5372" max="5372" width="5.85546875" style="233" customWidth="1"/>
    <col min="5373" max="5373" width="54.140625" style="233" customWidth="1"/>
    <col min="5374" max="5374" width="13.7109375" style="233" customWidth="1"/>
    <col min="5375" max="5375" width="10" style="233" customWidth="1"/>
    <col min="5376" max="5376" width="10.28515625" style="233" customWidth="1"/>
    <col min="5377" max="5379" width="9.140625" style="233"/>
    <col min="5380" max="5380" width="9.140625" style="233" customWidth="1"/>
    <col min="5381" max="5627" width="9.140625" style="233"/>
    <col min="5628" max="5628" width="5.85546875" style="233" customWidth="1"/>
    <col min="5629" max="5629" width="54.140625" style="233" customWidth="1"/>
    <col min="5630" max="5630" width="13.7109375" style="233" customWidth="1"/>
    <col min="5631" max="5631" width="10" style="233" customWidth="1"/>
    <col min="5632" max="5632" width="10.28515625" style="233" customWidth="1"/>
    <col min="5633" max="5635" width="9.140625" style="233"/>
    <col min="5636" max="5636" width="9.140625" style="233" customWidth="1"/>
    <col min="5637" max="5883" width="9.140625" style="233"/>
    <col min="5884" max="5884" width="5.85546875" style="233" customWidth="1"/>
    <col min="5885" max="5885" width="54.140625" style="233" customWidth="1"/>
    <col min="5886" max="5886" width="13.7109375" style="233" customWidth="1"/>
    <col min="5887" max="5887" width="10" style="233" customWidth="1"/>
    <col min="5888" max="5888" width="10.28515625" style="233" customWidth="1"/>
    <col min="5889" max="5891" width="9.140625" style="233"/>
    <col min="5892" max="5892" width="9.140625" style="233" customWidth="1"/>
    <col min="5893" max="6139" width="9.140625" style="233"/>
    <col min="6140" max="6140" width="5.85546875" style="233" customWidth="1"/>
    <col min="6141" max="6141" width="54.140625" style="233" customWidth="1"/>
    <col min="6142" max="6142" width="13.7109375" style="233" customWidth="1"/>
    <col min="6143" max="6143" width="10" style="233" customWidth="1"/>
    <col min="6144" max="6144" width="10.28515625" style="233" customWidth="1"/>
    <col min="6145" max="6147" width="9.140625" style="233"/>
    <col min="6148" max="6148" width="9.140625" style="233" customWidth="1"/>
    <col min="6149" max="6395" width="9.140625" style="233"/>
    <col min="6396" max="6396" width="5.85546875" style="233" customWidth="1"/>
    <col min="6397" max="6397" width="54.140625" style="233" customWidth="1"/>
    <col min="6398" max="6398" width="13.7109375" style="233" customWidth="1"/>
    <col min="6399" max="6399" width="10" style="233" customWidth="1"/>
    <col min="6400" max="6400" width="10.28515625" style="233" customWidth="1"/>
    <col min="6401" max="6403" width="9.140625" style="233"/>
    <col min="6404" max="6404" width="9.140625" style="233" customWidth="1"/>
    <col min="6405" max="6651" width="9.140625" style="233"/>
    <col min="6652" max="6652" width="5.85546875" style="233" customWidth="1"/>
    <col min="6653" max="6653" width="54.140625" style="233" customWidth="1"/>
    <col min="6654" max="6654" width="13.7109375" style="233" customWidth="1"/>
    <col min="6655" max="6655" width="10" style="233" customWidth="1"/>
    <col min="6656" max="6656" width="10.28515625" style="233" customWidth="1"/>
    <col min="6657" max="6659" width="9.140625" style="233"/>
    <col min="6660" max="6660" width="9.140625" style="233" customWidth="1"/>
    <col min="6661" max="6907" width="9.140625" style="233"/>
    <col min="6908" max="6908" width="5.85546875" style="233" customWidth="1"/>
    <col min="6909" max="6909" width="54.140625" style="233" customWidth="1"/>
    <col min="6910" max="6910" width="13.7109375" style="233" customWidth="1"/>
    <col min="6911" max="6911" width="10" style="233" customWidth="1"/>
    <col min="6912" max="6912" width="10.28515625" style="233" customWidth="1"/>
    <col min="6913" max="6915" width="9.140625" style="233"/>
    <col min="6916" max="6916" width="9.140625" style="233" customWidth="1"/>
    <col min="6917" max="7163" width="9.140625" style="233"/>
    <col min="7164" max="7164" width="5.85546875" style="233" customWidth="1"/>
    <col min="7165" max="7165" width="54.140625" style="233" customWidth="1"/>
    <col min="7166" max="7166" width="13.7109375" style="233" customWidth="1"/>
    <col min="7167" max="7167" width="10" style="233" customWidth="1"/>
    <col min="7168" max="7168" width="10.28515625" style="233" customWidth="1"/>
    <col min="7169" max="7171" width="9.140625" style="233"/>
    <col min="7172" max="7172" width="9.140625" style="233" customWidth="1"/>
    <col min="7173" max="7419" width="9.140625" style="233"/>
    <col min="7420" max="7420" width="5.85546875" style="233" customWidth="1"/>
    <col min="7421" max="7421" width="54.140625" style="233" customWidth="1"/>
    <col min="7422" max="7422" width="13.7109375" style="233" customWidth="1"/>
    <col min="7423" max="7423" width="10" style="233" customWidth="1"/>
    <col min="7424" max="7424" width="10.28515625" style="233" customWidth="1"/>
    <col min="7425" max="7427" width="9.140625" style="233"/>
    <col min="7428" max="7428" width="9.140625" style="233" customWidth="1"/>
    <col min="7429" max="7675" width="9.140625" style="233"/>
    <col min="7676" max="7676" width="5.85546875" style="233" customWidth="1"/>
    <col min="7677" max="7677" width="54.140625" style="233" customWidth="1"/>
    <col min="7678" max="7678" width="13.7109375" style="233" customWidth="1"/>
    <col min="7679" max="7679" width="10" style="233" customWidth="1"/>
    <col min="7680" max="7680" width="10.28515625" style="233" customWidth="1"/>
    <col min="7681" max="7683" width="9.140625" style="233"/>
    <col min="7684" max="7684" width="9.140625" style="233" customWidth="1"/>
    <col min="7685" max="7931" width="9.140625" style="233"/>
    <col min="7932" max="7932" width="5.85546875" style="233" customWidth="1"/>
    <col min="7933" max="7933" width="54.140625" style="233" customWidth="1"/>
    <col min="7934" max="7934" width="13.7109375" style="233" customWidth="1"/>
    <col min="7935" max="7935" width="10" style="233" customWidth="1"/>
    <col min="7936" max="7936" width="10.28515625" style="233" customWidth="1"/>
    <col min="7937" max="7939" width="9.140625" style="233"/>
    <col min="7940" max="7940" width="9.140625" style="233" customWidth="1"/>
    <col min="7941" max="8187" width="9.140625" style="233"/>
    <col min="8188" max="8188" width="5.85546875" style="233" customWidth="1"/>
    <col min="8189" max="8189" width="54.140625" style="233" customWidth="1"/>
    <col min="8190" max="8190" width="13.7109375" style="233" customWidth="1"/>
    <col min="8191" max="8191" width="10" style="233" customWidth="1"/>
    <col min="8192" max="8192" width="10.28515625" style="233" customWidth="1"/>
    <col min="8193" max="8195" width="9.140625" style="233"/>
    <col min="8196" max="8196" width="9.140625" style="233" customWidth="1"/>
    <col min="8197" max="8443" width="9.140625" style="233"/>
    <col min="8444" max="8444" width="5.85546875" style="233" customWidth="1"/>
    <col min="8445" max="8445" width="54.140625" style="233" customWidth="1"/>
    <col min="8446" max="8446" width="13.7109375" style="233" customWidth="1"/>
    <col min="8447" max="8447" width="10" style="233" customWidth="1"/>
    <col min="8448" max="8448" width="10.28515625" style="233" customWidth="1"/>
    <col min="8449" max="8451" width="9.140625" style="233"/>
    <col min="8452" max="8452" width="9.140625" style="233" customWidth="1"/>
    <col min="8453" max="8699" width="9.140625" style="233"/>
    <col min="8700" max="8700" width="5.85546875" style="233" customWidth="1"/>
    <col min="8701" max="8701" width="54.140625" style="233" customWidth="1"/>
    <col min="8702" max="8702" width="13.7109375" style="233" customWidth="1"/>
    <col min="8703" max="8703" width="10" style="233" customWidth="1"/>
    <col min="8704" max="8704" width="10.28515625" style="233" customWidth="1"/>
    <col min="8705" max="8707" width="9.140625" style="233"/>
    <col min="8708" max="8708" width="9.140625" style="233" customWidth="1"/>
    <col min="8709" max="8955" width="9.140625" style="233"/>
    <col min="8956" max="8956" width="5.85546875" style="233" customWidth="1"/>
    <col min="8957" max="8957" width="54.140625" style="233" customWidth="1"/>
    <col min="8958" max="8958" width="13.7109375" style="233" customWidth="1"/>
    <col min="8959" max="8959" width="10" style="233" customWidth="1"/>
    <col min="8960" max="8960" width="10.28515625" style="233" customWidth="1"/>
    <col min="8961" max="8963" width="9.140625" style="233"/>
    <col min="8964" max="8964" width="9.140625" style="233" customWidth="1"/>
    <col min="8965" max="9211" width="9.140625" style="233"/>
    <col min="9212" max="9212" width="5.85546875" style="233" customWidth="1"/>
    <col min="9213" max="9213" width="54.140625" style="233" customWidth="1"/>
    <col min="9214" max="9214" width="13.7109375" style="233" customWidth="1"/>
    <col min="9215" max="9215" width="10" style="233" customWidth="1"/>
    <col min="9216" max="9216" width="10.28515625" style="233" customWidth="1"/>
    <col min="9217" max="9219" width="9.140625" style="233"/>
    <col min="9220" max="9220" width="9.140625" style="233" customWidth="1"/>
    <col min="9221" max="9467" width="9.140625" style="233"/>
    <col min="9468" max="9468" width="5.85546875" style="233" customWidth="1"/>
    <col min="9469" max="9469" width="54.140625" style="233" customWidth="1"/>
    <col min="9470" max="9470" width="13.7109375" style="233" customWidth="1"/>
    <col min="9471" max="9471" width="10" style="233" customWidth="1"/>
    <col min="9472" max="9472" width="10.28515625" style="233" customWidth="1"/>
    <col min="9473" max="9475" width="9.140625" style="233"/>
    <col min="9476" max="9476" width="9.140625" style="233" customWidth="1"/>
    <col min="9477" max="9723" width="9.140625" style="233"/>
    <col min="9724" max="9724" width="5.85546875" style="233" customWidth="1"/>
    <col min="9725" max="9725" width="54.140625" style="233" customWidth="1"/>
    <col min="9726" max="9726" width="13.7109375" style="233" customWidth="1"/>
    <col min="9727" max="9727" width="10" style="233" customWidth="1"/>
    <col min="9728" max="9728" width="10.28515625" style="233" customWidth="1"/>
    <col min="9729" max="9731" width="9.140625" style="233"/>
    <col min="9732" max="9732" width="9.140625" style="233" customWidth="1"/>
    <col min="9733" max="9979" width="9.140625" style="233"/>
    <col min="9980" max="9980" width="5.85546875" style="233" customWidth="1"/>
    <col min="9981" max="9981" width="54.140625" style="233" customWidth="1"/>
    <col min="9982" max="9982" width="13.7109375" style="233" customWidth="1"/>
    <col min="9983" max="9983" width="10" style="233" customWidth="1"/>
    <col min="9984" max="9984" width="10.28515625" style="233" customWidth="1"/>
    <col min="9985" max="9987" width="9.140625" style="233"/>
    <col min="9988" max="9988" width="9.140625" style="233" customWidth="1"/>
    <col min="9989" max="10235" width="9.140625" style="233"/>
    <col min="10236" max="10236" width="5.85546875" style="233" customWidth="1"/>
    <col min="10237" max="10237" width="54.140625" style="233" customWidth="1"/>
    <col min="10238" max="10238" width="13.7109375" style="233" customWidth="1"/>
    <col min="10239" max="10239" width="10" style="233" customWidth="1"/>
    <col min="10240" max="10240" width="10.28515625" style="233" customWidth="1"/>
    <col min="10241" max="10243" width="9.140625" style="233"/>
    <col min="10244" max="10244" width="9.140625" style="233" customWidth="1"/>
    <col min="10245" max="10491" width="9.140625" style="233"/>
    <col min="10492" max="10492" width="5.85546875" style="233" customWidth="1"/>
    <col min="10493" max="10493" width="54.140625" style="233" customWidth="1"/>
    <col min="10494" max="10494" width="13.7109375" style="233" customWidth="1"/>
    <col min="10495" max="10495" width="10" style="233" customWidth="1"/>
    <col min="10496" max="10496" width="10.28515625" style="233" customWidth="1"/>
    <col min="10497" max="10499" width="9.140625" style="233"/>
    <col min="10500" max="10500" width="9.140625" style="233" customWidth="1"/>
    <col min="10501" max="10747" width="9.140625" style="233"/>
    <col min="10748" max="10748" width="5.85546875" style="233" customWidth="1"/>
    <col min="10749" max="10749" width="54.140625" style="233" customWidth="1"/>
    <col min="10750" max="10750" width="13.7109375" style="233" customWidth="1"/>
    <col min="10751" max="10751" width="10" style="233" customWidth="1"/>
    <col min="10752" max="10752" width="10.28515625" style="233" customWidth="1"/>
    <col min="10753" max="10755" width="9.140625" style="233"/>
    <col min="10756" max="10756" width="9.140625" style="233" customWidth="1"/>
    <col min="10757" max="11003" width="9.140625" style="233"/>
    <col min="11004" max="11004" width="5.85546875" style="233" customWidth="1"/>
    <col min="11005" max="11005" width="54.140625" style="233" customWidth="1"/>
    <col min="11006" max="11006" width="13.7109375" style="233" customWidth="1"/>
    <col min="11007" max="11007" width="10" style="233" customWidth="1"/>
    <col min="11008" max="11008" width="10.28515625" style="233" customWidth="1"/>
    <col min="11009" max="11011" width="9.140625" style="233"/>
    <col min="11012" max="11012" width="9.140625" style="233" customWidth="1"/>
    <col min="11013" max="11259" width="9.140625" style="233"/>
    <col min="11260" max="11260" width="5.85546875" style="233" customWidth="1"/>
    <col min="11261" max="11261" width="54.140625" style="233" customWidth="1"/>
    <col min="11262" max="11262" width="13.7109375" style="233" customWidth="1"/>
    <col min="11263" max="11263" width="10" style="233" customWidth="1"/>
    <col min="11264" max="11264" width="10.28515625" style="233" customWidth="1"/>
    <col min="11265" max="11267" width="9.140625" style="233"/>
    <col min="11268" max="11268" width="9.140625" style="233" customWidth="1"/>
    <col min="11269" max="11515" width="9.140625" style="233"/>
    <col min="11516" max="11516" width="5.85546875" style="233" customWidth="1"/>
    <col min="11517" max="11517" width="54.140625" style="233" customWidth="1"/>
    <col min="11518" max="11518" width="13.7109375" style="233" customWidth="1"/>
    <col min="11519" max="11519" width="10" style="233" customWidth="1"/>
    <col min="11520" max="11520" width="10.28515625" style="233" customWidth="1"/>
    <col min="11521" max="11523" width="9.140625" style="233"/>
    <col min="11524" max="11524" width="9.140625" style="233" customWidth="1"/>
    <col min="11525" max="11771" width="9.140625" style="233"/>
    <col min="11772" max="11772" width="5.85546875" style="233" customWidth="1"/>
    <col min="11773" max="11773" width="54.140625" style="233" customWidth="1"/>
    <col min="11774" max="11774" width="13.7109375" style="233" customWidth="1"/>
    <col min="11775" max="11775" width="10" style="233" customWidth="1"/>
    <col min="11776" max="11776" width="10.28515625" style="233" customWidth="1"/>
    <col min="11777" max="11779" width="9.140625" style="233"/>
    <col min="11780" max="11780" width="9.140625" style="233" customWidth="1"/>
    <col min="11781" max="12027" width="9.140625" style="233"/>
    <col min="12028" max="12028" width="5.85546875" style="233" customWidth="1"/>
    <col min="12029" max="12029" width="54.140625" style="233" customWidth="1"/>
    <col min="12030" max="12030" width="13.7109375" style="233" customWidth="1"/>
    <col min="12031" max="12031" width="10" style="233" customWidth="1"/>
    <col min="12032" max="12032" width="10.28515625" style="233" customWidth="1"/>
    <col min="12033" max="12035" width="9.140625" style="233"/>
    <col min="12036" max="12036" width="9.140625" style="233" customWidth="1"/>
    <col min="12037" max="12283" width="9.140625" style="233"/>
    <col min="12284" max="12284" width="5.85546875" style="233" customWidth="1"/>
    <col min="12285" max="12285" width="54.140625" style="233" customWidth="1"/>
    <col min="12286" max="12286" width="13.7109375" style="233" customWidth="1"/>
    <col min="12287" max="12287" width="10" style="233" customWidth="1"/>
    <col min="12288" max="12288" width="10.28515625" style="233" customWidth="1"/>
    <col min="12289" max="12291" width="9.140625" style="233"/>
    <col min="12292" max="12292" width="9.140625" style="233" customWidth="1"/>
    <col min="12293" max="12539" width="9.140625" style="233"/>
    <col min="12540" max="12540" width="5.85546875" style="233" customWidth="1"/>
    <col min="12541" max="12541" width="54.140625" style="233" customWidth="1"/>
    <col min="12542" max="12542" width="13.7109375" style="233" customWidth="1"/>
    <col min="12543" max="12543" width="10" style="233" customWidth="1"/>
    <col min="12544" max="12544" width="10.28515625" style="233" customWidth="1"/>
    <col min="12545" max="12547" width="9.140625" style="233"/>
    <col min="12548" max="12548" width="9.140625" style="233" customWidth="1"/>
    <col min="12549" max="12795" width="9.140625" style="233"/>
    <col min="12796" max="12796" width="5.85546875" style="233" customWidth="1"/>
    <col min="12797" max="12797" width="54.140625" style="233" customWidth="1"/>
    <col min="12798" max="12798" width="13.7109375" style="233" customWidth="1"/>
    <col min="12799" max="12799" width="10" style="233" customWidth="1"/>
    <col min="12800" max="12800" width="10.28515625" style="233" customWidth="1"/>
    <col min="12801" max="12803" width="9.140625" style="233"/>
    <col min="12804" max="12804" width="9.140625" style="233" customWidth="1"/>
    <col min="12805" max="13051" width="9.140625" style="233"/>
    <col min="13052" max="13052" width="5.85546875" style="233" customWidth="1"/>
    <col min="13053" max="13053" width="54.140625" style="233" customWidth="1"/>
    <col min="13054" max="13054" width="13.7109375" style="233" customWidth="1"/>
    <col min="13055" max="13055" width="10" style="233" customWidth="1"/>
    <col min="13056" max="13056" width="10.28515625" style="233" customWidth="1"/>
    <col min="13057" max="13059" width="9.140625" style="233"/>
    <col min="13060" max="13060" width="9.140625" style="233" customWidth="1"/>
    <col min="13061" max="13307" width="9.140625" style="233"/>
    <col min="13308" max="13308" width="5.85546875" style="233" customWidth="1"/>
    <col min="13309" max="13309" width="54.140625" style="233" customWidth="1"/>
    <col min="13310" max="13310" width="13.7109375" style="233" customWidth="1"/>
    <col min="13311" max="13311" width="10" style="233" customWidth="1"/>
    <col min="13312" max="13312" width="10.28515625" style="233" customWidth="1"/>
    <col min="13313" max="13315" width="9.140625" style="233"/>
    <col min="13316" max="13316" width="9.140625" style="233" customWidth="1"/>
    <col min="13317" max="13563" width="9.140625" style="233"/>
    <col min="13564" max="13564" width="5.85546875" style="233" customWidth="1"/>
    <col min="13565" max="13565" width="54.140625" style="233" customWidth="1"/>
    <col min="13566" max="13566" width="13.7109375" style="233" customWidth="1"/>
    <col min="13567" max="13567" width="10" style="233" customWidth="1"/>
    <col min="13568" max="13568" width="10.28515625" style="233" customWidth="1"/>
    <col min="13569" max="13571" width="9.140625" style="233"/>
    <col min="13572" max="13572" width="9.140625" style="233" customWidth="1"/>
    <col min="13573" max="13819" width="9.140625" style="233"/>
    <col min="13820" max="13820" width="5.85546875" style="233" customWidth="1"/>
    <col min="13821" max="13821" width="54.140625" style="233" customWidth="1"/>
    <col min="13822" max="13822" width="13.7109375" style="233" customWidth="1"/>
    <col min="13823" max="13823" width="10" style="233" customWidth="1"/>
    <col min="13824" max="13824" width="10.28515625" style="233" customWidth="1"/>
    <col min="13825" max="13827" width="9.140625" style="233"/>
    <col min="13828" max="13828" width="9.140625" style="233" customWidth="1"/>
    <col min="13829" max="14075" width="9.140625" style="233"/>
    <col min="14076" max="14076" width="5.85546875" style="233" customWidth="1"/>
    <col min="14077" max="14077" width="54.140625" style="233" customWidth="1"/>
    <col min="14078" max="14078" width="13.7109375" style="233" customWidth="1"/>
    <col min="14079" max="14079" width="10" style="233" customWidth="1"/>
    <col min="14080" max="14080" width="10.28515625" style="233" customWidth="1"/>
    <col min="14081" max="14083" width="9.140625" style="233"/>
    <col min="14084" max="14084" width="9.140625" style="233" customWidth="1"/>
    <col min="14085" max="14331" width="9.140625" style="233"/>
    <col min="14332" max="14332" width="5.85546875" style="233" customWidth="1"/>
    <col min="14333" max="14333" width="54.140625" style="233" customWidth="1"/>
    <col min="14334" max="14334" width="13.7109375" style="233" customWidth="1"/>
    <col min="14335" max="14335" width="10" style="233" customWidth="1"/>
    <col min="14336" max="14336" width="10.28515625" style="233" customWidth="1"/>
    <col min="14337" max="14339" width="9.140625" style="233"/>
    <col min="14340" max="14340" width="9.140625" style="233" customWidth="1"/>
    <col min="14341" max="14587" width="9.140625" style="233"/>
    <col min="14588" max="14588" width="5.85546875" style="233" customWidth="1"/>
    <col min="14589" max="14589" width="54.140625" style="233" customWidth="1"/>
    <col min="14590" max="14590" width="13.7109375" style="233" customWidth="1"/>
    <col min="14591" max="14591" width="10" style="233" customWidth="1"/>
    <col min="14592" max="14592" width="10.28515625" style="233" customWidth="1"/>
    <col min="14593" max="14595" width="9.140625" style="233"/>
    <col min="14596" max="14596" width="9.140625" style="233" customWidth="1"/>
    <col min="14597" max="14843" width="9.140625" style="233"/>
    <col min="14844" max="14844" width="5.85546875" style="233" customWidth="1"/>
    <col min="14845" max="14845" width="54.140625" style="233" customWidth="1"/>
    <col min="14846" max="14846" width="13.7109375" style="233" customWidth="1"/>
    <col min="14847" max="14847" width="10" style="233" customWidth="1"/>
    <col min="14848" max="14848" width="10.28515625" style="233" customWidth="1"/>
    <col min="14849" max="14851" width="9.140625" style="233"/>
    <col min="14852" max="14852" width="9.140625" style="233" customWidth="1"/>
    <col min="14853" max="15099" width="9.140625" style="233"/>
    <col min="15100" max="15100" width="5.85546875" style="233" customWidth="1"/>
    <col min="15101" max="15101" width="54.140625" style="233" customWidth="1"/>
    <col min="15102" max="15102" width="13.7109375" style="233" customWidth="1"/>
    <col min="15103" max="15103" width="10" style="233" customWidth="1"/>
    <col min="15104" max="15104" width="10.28515625" style="233" customWidth="1"/>
    <col min="15105" max="15107" width="9.140625" style="233"/>
    <col min="15108" max="15108" width="9.140625" style="233" customWidth="1"/>
    <col min="15109" max="15355" width="9.140625" style="233"/>
    <col min="15356" max="15356" width="5.85546875" style="233" customWidth="1"/>
    <col min="15357" max="15357" width="54.140625" style="233" customWidth="1"/>
    <col min="15358" max="15358" width="13.7109375" style="233" customWidth="1"/>
    <col min="15359" max="15359" width="10" style="233" customWidth="1"/>
    <col min="15360" max="15360" width="10.28515625" style="233" customWidth="1"/>
    <col min="15361" max="15363" width="9.140625" style="233"/>
    <col min="15364" max="15364" width="9.140625" style="233" customWidth="1"/>
    <col min="15365" max="15611" width="9.140625" style="233"/>
    <col min="15612" max="15612" width="5.85546875" style="233" customWidth="1"/>
    <col min="15613" max="15613" width="54.140625" style="233" customWidth="1"/>
    <col min="15614" max="15614" width="13.7109375" style="233" customWidth="1"/>
    <col min="15615" max="15615" width="10" style="233" customWidth="1"/>
    <col min="15616" max="15616" width="10.28515625" style="233" customWidth="1"/>
    <col min="15617" max="15619" width="9.140625" style="233"/>
    <col min="15620" max="15620" width="9.140625" style="233" customWidth="1"/>
    <col min="15621" max="15867" width="9.140625" style="233"/>
    <col min="15868" max="15868" width="5.85546875" style="233" customWidth="1"/>
    <col min="15869" max="15869" width="54.140625" style="233" customWidth="1"/>
    <col min="15870" max="15870" width="13.7109375" style="233" customWidth="1"/>
    <col min="15871" max="15871" width="10" style="233" customWidth="1"/>
    <col min="15872" max="15872" width="10.28515625" style="233" customWidth="1"/>
    <col min="15873" max="15875" width="9.140625" style="233"/>
    <col min="15876" max="15876" width="9.140625" style="233" customWidth="1"/>
    <col min="15877" max="16123" width="9.140625" style="233"/>
    <col min="16124" max="16124" width="5.85546875" style="233" customWidth="1"/>
    <col min="16125" max="16125" width="54.140625" style="233" customWidth="1"/>
    <col min="16126" max="16126" width="13.7109375" style="233" customWidth="1"/>
    <col min="16127" max="16127" width="10" style="233" customWidth="1"/>
    <col min="16128" max="16128" width="10.28515625" style="233" customWidth="1"/>
    <col min="16129" max="16131" width="9.140625" style="233"/>
    <col min="16132" max="16132" width="9.140625" style="233" customWidth="1"/>
    <col min="16133" max="16384" width="9.140625" style="233"/>
  </cols>
  <sheetData>
    <row r="1" spans="1:4" ht="12.75" x14ac:dyDescent="0.2">
      <c r="B1" s="664" t="s">
        <v>361</v>
      </c>
    </row>
    <row r="2" spans="1:4" s="227" customFormat="1" ht="33.75" customHeight="1" thickBot="1" x14ac:dyDescent="0.35">
      <c r="A2" s="1085" t="s">
        <v>476</v>
      </c>
      <c r="B2" s="1085"/>
      <c r="C2" s="1085"/>
    </row>
    <row r="3" spans="1:4" s="228" customFormat="1" ht="52.5" customHeight="1" thickBot="1" x14ac:dyDescent="0.35">
      <c r="A3" s="258" t="s">
        <v>131</v>
      </c>
      <c r="B3" s="259" t="s">
        <v>132</v>
      </c>
      <c r="C3" s="260" t="s">
        <v>477</v>
      </c>
      <c r="D3" s="430"/>
    </row>
    <row r="4" spans="1:4" s="230" customFormat="1" ht="16.5" thickTop="1" x14ac:dyDescent="0.25">
      <c r="A4" s="229">
        <v>1</v>
      </c>
      <c r="B4" s="261" t="s">
        <v>138</v>
      </c>
      <c r="C4" s="23">
        <v>76414</v>
      </c>
      <c r="D4" s="429"/>
    </row>
    <row r="5" spans="1:4" s="230" customFormat="1" ht="15.75" x14ac:dyDescent="0.25">
      <c r="A5" s="229">
        <v>2</v>
      </c>
      <c r="B5" s="261" t="s">
        <v>139</v>
      </c>
      <c r="C5" s="23">
        <v>61881</v>
      </c>
      <c r="D5" s="429"/>
    </row>
    <row r="6" spans="1:4" s="230" customFormat="1" ht="15.75" x14ac:dyDescent="0.25">
      <c r="A6" s="229">
        <v>3</v>
      </c>
      <c r="B6" s="261" t="s">
        <v>140</v>
      </c>
      <c r="C6" s="23">
        <v>22986</v>
      </c>
      <c r="D6" s="429"/>
    </row>
    <row r="7" spans="1:4" s="230" customFormat="1" ht="15.75" x14ac:dyDescent="0.25">
      <c r="A7" s="229">
        <v>4</v>
      </c>
      <c r="B7" s="261" t="s">
        <v>141</v>
      </c>
      <c r="C7" s="23">
        <v>21561</v>
      </c>
      <c r="D7" s="429"/>
    </row>
    <row r="8" spans="1:4" s="230" customFormat="1" ht="15.75" x14ac:dyDescent="0.25">
      <c r="A8" s="229">
        <v>5</v>
      </c>
      <c r="B8" s="264" t="s">
        <v>142</v>
      </c>
      <c r="C8" s="262">
        <v>46135</v>
      </c>
      <c r="D8" s="429"/>
    </row>
    <row r="9" spans="1:4" s="230" customFormat="1" ht="15.75" x14ac:dyDescent="0.25">
      <c r="A9" s="229">
        <v>6</v>
      </c>
      <c r="B9" s="261" t="s">
        <v>43</v>
      </c>
      <c r="C9" s="23">
        <v>18068</v>
      </c>
      <c r="D9" s="429"/>
    </row>
    <row r="10" spans="1:4" s="230" customFormat="1" ht="15.75" x14ac:dyDescent="0.25">
      <c r="A10" s="229">
        <v>7</v>
      </c>
      <c r="B10" s="261" t="s">
        <v>101</v>
      </c>
      <c r="C10" s="23">
        <v>39131</v>
      </c>
      <c r="D10" s="429"/>
    </row>
    <row r="11" spans="1:4" s="230" customFormat="1" ht="15.75" x14ac:dyDescent="0.25">
      <c r="A11" s="229">
        <v>8</v>
      </c>
      <c r="B11" s="261" t="s">
        <v>143</v>
      </c>
      <c r="C11" s="23">
        <v>25220</v>
      </c>
      <c r="D11" s="429"/>
    </row>
    <row r="12" spans="1:4" s="230" customFormat="1" ht="31.5" x14ac:dyDescent="0.25">
      <c r="A12" s="229">
        <v>9</v>
      </c>
      <c r="B12" s="261" t="s">
        <v>144</v>
      </c>
      <c r="C12" s="23">
        <v>32500</v>
      </c>
      <c r="D12" s="429"/>
    </row>
    <row r="13" spans="1:4" s="230" customFormat="1" ht="15.75" x14ac:dyDescent="0.25">
      <c r="A13" s="229">
        <v>10</v>
      </c>
      <c r="B13" s="264" t="s">
        <v>39</v>
      </c>
      <c r="C13" s="23">
        <v>23304</v>
      </c>
      <c r="D13" s="429"/>
    </row>
    <row r="14" spans="1:4" s="230" customFormat="1" ht="15.75" x14ac:dyDescent="0.25">
      <c r="A14" s="229">
        <v>11</v>
      </c>
      <c r="B14" s="261" t="s">
        <v>146</v>
      </c>
      <c r="C14" s="23">
        <v>28942</v>
      </c>
      <c r="D14" s="429"/>
    </row>
    <row r="15" spans="1:4" s="230" customFormat="1" ht="15.75" x14ac:dyDescent="0.25">
      <c r="A15" s="229">
        <v>12</v>
      </c>
      <c r="B15" s="263" t="s">
        <v>149</v>
      </c>
      <c r="C15" s="265">
        <v>58463</v>
      </c>
      <c r="D15" s="429"/>
    </row>
    <row r="16" spans="1:4" s="230" customFormat="1" ht="15.75" x14ac:dyDescent="0.25">
      <c r="A16" s="229">
        <v>13</v>
      </c>
      <c r="B16" s="266" t="s">
        <v>150</v>
      </c>
      <c r="C16" s="265">
        <v>127356</v>
      </c>
      <c r="D16" s="429"/>
    </row>
    <row r="17" spans="1:6" s="230" customFormat="1" ht="15.75" x14ac:dyDescent="0.25">
      <c r="A17" s="229">
        <v>14</v>
      </c>
      <c r="B17" s="395" t="s">
        <v>284</v>
      </c>
      <c r="C17" s="265">
        <v>19938</v>
      </c>
      <c r="D17" s="429"/>
    </row>
    <row r="18" spans="1:6" s="230" customFormat="1" ht="31.5" x14ac:dyDescent="0.25">
      <c r="A18" s="229">
        <v>15</v>
      </c>
      <c r="B18" s="428" t="s">
        <v>324</v>
      </c>
      <c r="C18" s="396">
        <v>14800</v>
      </c>
    </row>
    <row r="19" spans="1:6" s="230" customFormat="1" ht="32.25" thickBot="1" x14ac:dyDescent="0.3">
      <c r="A19" s="667">
        <v>18</v>
      </c>
      <c r="B19" s="668" t="s">
        <v>560</v>
      </c>
      <c r="C19" s="287">
        <v>14260</v>
      </c>
    </row>
    <row r="20" spans="1:6" s="230" customFormat="1" ht="16.5" thickBot="1" x14ac:dyDescent="0.3">
      <c r="A20" s="284"/>
      <c r="B20" s="285" t="s">
        <v>176</v>
      </c>
      <c r="C20" s="286">
        <f>SUM(C4:C19)</f>
        <v>630959</v>
      </c>
      <c r="D20" s="427"/>
    </row>
    <row r="21" spans="1:6" s="230" customFormat="1" ht="15.75" x14ac:dyDescent="0.25">
      <c r="A21" s="231"/>
      <c r="B21" s="278"/>
      <c r="C21" s="279"/>
      <c r="F21" s="281"/>
    </row>
    <row r="22" spans="1:6" s="230" customFormat="1" ht="15.75" x14ac:dyDescent="0.25">
      <c r="A22" s="231"/>
      <c r="B22" s="234"/>
      <c r="C22" s="235"/>
    </row>
    <row r="23" spans="1:6" s="230" customFormat="1" ht="16.5" thickBot="1" x14ac:dyDescent="0.3">
      <c r="A23" s="397" t="s">
        <v>229</v>
      </c>
      <c r="B23" s="398"/>
      <c r="C23" s="236"/>
    </row>
    <row r="24" spans="1:6" s="230" customFormat="1" ht="38.25" thickBot="1" x14ac:dyDescent="0.35">
      <c r="A24" s="258" t="s">
        <v>131</v>
      </c>
      <c r="B24" s="259" t="s">
        <v>132</v>
      </c>
      <c r="C24" s="267" t="s">
        <v>477</v>
      </c>
      <c r="D24" s="430"/>
    </row>
    <row r="25" spans="1:6" s="230" customFormat="1" ht="16.5" thickTop="1" x14ac:dyDescent="0.25">
      <c r="A25" s="50">
        <v>1</v>
      </c>
      <c r="B25" s="263" t="s">
        <v>151</v>
      </c>
      <c r="C25" s="265">
        <v>93645</v>
      </c>
      <c r="D25" s="429"/>
    </row>
    <row r="26" spans="1:6" s="230" customFormat="1" ht="15.75" x14ac:dyDescent="0.25">
      <c r="A26" s="50">
        <v>2</v>
      </c>
      <c r="B26" s="263" t="s">
        <v>152</v>
      </c>
      <c r="C26" s="265">
        <v>43500</v>
      </c>
      <c r="D26" s="429"/>
    </row>
    <row r="27" spans="1:6" ht="31.5" x14ac:dyDescent="0.25">
      <c r="A27" s="50">
        <v>3</v>
      </c>
      <c r="B27" s="263" t="s">
        <v>365</v>
      </c>
      <c r="C27" s="265">
        <v>36200</v>
      </c>
      <c r="D27" s="429"/>
    </row>
    <row r="28" spans="1:6" ht="15.75" x14ac:dyDescent="0.25">
      <c r="A28" s="50">
        <v>4</v>
      </c>
      <c r="B28" s="263" t="s">
        <v>315</v>
      </c>
      <c r="C28" s="265"/>
      <c r="D28" s="429"/>
    </row>
    <row r="29" spans="1:6" s="237" customFormat="1" ht="15.75" x14ac:dyDescent="0.25">
      <c r="A29" s="50">
        <v>5</v>
      </c>
      <c r="B29" s="263" t="s">
        <v>153</v>
      </c>
      <c r="C29" s="265"/>
      <c r="D29" s="429"/>
    </row>
    <row r="30" spans="1:6" ht="19.5" customHeight="1" x14ac:dyDescent="0.25">
      <c r="A30" s="50">
        <v>6</v>
      </c>
      <c r="B30" s="263" t="s">
        <v>154</v>
      </c>
      <c r="C30" s="1041">
        <v>70419</v>
      </c>
      <c r="D30" s="429"/>
    </row>
    <row r="31" spans="1:6" ht="19.5" customHeight="1" x14ac:dyDescent="0.25">
      <c r="A31" s="50">
        <v>7</v>
      </c>
      <c r="B31" s="263" t="s">
        <v>230</v>
      </c>
      <c r="C31" s="282">
        <v>847</v>
      </c>
      <c r="D31" s="429"/>
    </row>
    <row r="32" spans="1:6" ht="16.5" thickBot="1" x14ac:dyDescent="0.3">
      <c r="A32" s="367"/>
      <c r="B32" s="368" t="s">
        <v>177</v>
      </c>
      <c r="C32" s="369">
        <f>SUM(C25:C31)</f>
        <v>244611</v>
      </c>
      <c r="D32" s="425"/>
      <c r="E32" s="237"/>
    </row>
    <row r="33" spans="1:3" ht="15.75" x14ac:dyDescent="0.25">
      <c r="A33" s="239"/>
      <c r="B33" s="240"/>
      <c r="C33" s="241"/>
    </row>
    <row r="34" spans="1:3" ht="15.75" x14ac:dyDescent="0.25">
      <c r="A34" s="231"/>
      <c r="B34" s="234"/>
      <c r="C34" s="242"/>
    </row>
    <row r="35" spans="1:3" ht="15.75" x14ac:dyDescent="0.25">
      <c r="A35" s="231"/>
      <c r="B35" s="222" t="s">
        <v>129</v>
      </c>
      <c r="C35" s="16" t="s">
        <v>38</v>
      </c>
    </row>
    <row r="36" spans="1:3" s="238" customFormat="1" x14ac:dyDescent="0.2">
      <c r="A36" s="233"/>
      <c r="B36" s="243"/>
      <c r="C36" s="232"/>
    </row>
    <row r="37" spans="1:3" s="237" customFormat="1" x14ac:dyDescent="0.2">
      <c r="A37" s="233"/>
      <c r="B37" s="243"/>
      <c r="C37" s="232"/>
    </row>
    <row r="38" spans="1:3" s="237" customFormat="1" ht="12.75" hidden="1" customHeight="1" x14ac:dyDescent="0.2">
      <c r="A38" s="233"/>
      <c r="B38" s="243"/>
      <c r="C38" s="232"/>
    </row>
    <row r="39" spans="1:3" s="237" customFormat="1" ht="12.75" customHeight="1" x14ac:dyDescent="0.2">
      <c r="A39" s="233"/>
      <c r="B39" s="243"/>
      <c r="C39" s="232"/>
    </row>
  </sheetData>
  <mergeCells count="1">
    <mergeCell ref="A2:C2"/>
  </mergeCells>
  <phoneticPr fontId="0" type="noConversion"/>
  <pageMargins left="0.55118110236220474" right="0.55118110236220474" top="0.39370078740157483" bottom="0.59055118110236227" header="0.51181102362204722" footer="0.51181102362204722"/>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1"/>
  <sheetViews>
    <sheetView workbookViewId="0">
      <selection activeCell="F27" sqref="F27"/>
    </sheetView>
  </sheetViews>
  <sheetFormatPr defaultRowHeight="11.25" x14ac:dyDescent="0.2"/>
  <cols>
    <col min="1" max="1" width="5.85546875" style="233" customWidth="1"/>
    <col min="2" max="2" width="54.140625" style="243" customWidth="1"/>
    <col min="3" max="3" width="13.7109375" style="232" customWidth="1"/>
    <col min="4" max="4" width="9.28515625" style="232" customWidth="1"/>
    <col min="5" max="5" width="9.85546875" style="233" customWidth="1"/>
    <col min="6" max="6" width="10.42578125" style="233" customWidth="1"/>
    <col min="7" max="8" width="9.140625" style="233"/>
    <col min="9" max="9" width="30" style="233" customWidth="1"/>
    <col min="10" max="254" width="9.140625" style="233"/>
    <col min="255" max="255" width="5.85546875" style="233" customWidth="1"/>
    <col min="256" max="256" width="54.140625" style="233" customWidth="1"/>
    <col min="257" max="257" width="13.7109375" style="233" customWidth="1"/>
    <col min="258" max="258" width="10" style="233" customWidth="1"/>
    <col min="259" max="259" width="11.42578125" style="233" customWidth="1"/>
    <col min="260" max="510" width="9.140625" style="233"/>
    <col min="511" max="511" width="5.85546875" style="233" customWidth="1"/>
    <col min="512" max="512" width="54.140625" style="233" customWidth="1"/>
    <col min="513" max="513" width="13.7109375" style="233" customWidth="1"/>
    <col min="514" max="514" width="10" style="233" customWidth="1"/>
    <col min="515" max="515" width="11.42578125" style="233" customWidth="1"/>
    <col min="516" max="766" width="9.140625" style="233"/>
    <col min="767" max="767" width="5.85546875" style="233" customWidth="1"/>
    <col min="768" max="768" width="54.140625" style="233" customWidth="1"/>
    <col min="769" max="769" width="13.7109375" style="233" customWidth="1"/>
    <col min="770" max="770" width="10" style="233" customWidth="1"/>
    <col min="771" max="771" width="11.42578125" style="233" customWidth="1"/>
    <col min="772" max="1022" width="9.140625" style="233"/>
    <col min="1023" max="1023" width="5.85546875" style="233" customWidth="1"/>
    <col min="1024" max="1024" width="54.140625" style="233" customWidth="1"/>
    <col min="1025" max="1025" width="13.7109375" style="233" customWidth="1"/>
    <col min="1026" max="1026" width="10" style="233" customWidth="1"/>
    <col min="1027" max="1027" width="11.42578125" style="233" customWidth="1"/>
    <col min="1028" max="1278" width="9.140625" style="233"/>
    <col min="1279" max="1279" width="5.85546875" style="233" customWidth="1"/>
    <col min="1280" max="1280" width="54.140625" style="233" customWidth="1"/>
    <col min="1281" max="1281" width="13.7109375" style="233" customWidth="1"/>
    <col min="1282" max="1282" width="10" style="233" customWidth="1"/>
    <col min="1283" max="1283" width="11.42578125" style="233" customWidth="1"/>
    <col min="1284" max="1534" width="9.140625" style="233"/>
    <col min="1535" max="1535" width="5.85546875" style="233" customWidth="1"/>
    <col min="1536" max="1536" width="54.140625" style="233" customWidth="1"/>
    <col min="1537" max="1537" width="13.7109375" style="233" customWidth="1"/>
    <col min="1538" max="1538" width="10" style="233" customWidth="1"/>
    <col min="1539" max="1539" width="11.42578125" style="233" customWidth="1"/>
    <col min="1540" max="1790" width="9.140625" style="233"/>
    <col min="1791" max="1791" width="5.85546875" style="233" customWidth="1"/>
    <col min="1792" max="1792" width="54.140625" style="233" customWidth="1"/>
    <col min="1793" max="1793" width="13.7109375" style="233" customWidth="1"/>
    <col min="1794" max="1794" width="10" style="233" customWidth="1"/>
    <col min="1795" max="1795" width="11.42578125" style="233" customWidth="1"/>
    <col min="1796" max="2046" width="9.140625" style="233"/>
    <col min="2047" max="2047" width="5.85546875" style="233" customWidth="1"/>
    <col min="2048" max="2048" width="54.140625" style="233" customWidth="1"/>
    <col min="2049" max="2049" width="13.7109375" style="233" customWidth="1"/>
    <col min="2050" max="2050" width="10" style="233" customWidth="1"/>
    <col min="2051" max="2051" width="11.42578125" style="233" customWidth="1"/>
    <col min="2052" max="2302" width="9.140625" style="233"/>
    <col min="2303" max="2303" width="5.85546875" style="233" customWidth="1"/>
    <col min="2304" max="2304" width="54.140625" style="233" customWidth="1"/>
    <col min="2305" max="2305" width="13.7109375" style="233" customWidth="1"/>
    <col min="2306" max="2306" width="10" style="233" customWidth="1"/>
    <col min="2307" max="2307" width="11.42578125" style="233" customWidth="1"/>
    <col min="2308" max="2558" width="9.140625" style="233"/>
    <col min="2559" max="2559" width="5.85546875" style="233" customWidth="1"/>
    <col min="2560" max="2560" width="54.140625" style="233" customWidth="1"/>
    <col min="2561" max="2561" width="13.7109375" style="233" customWidth="1"/>
    <col min="2562" max="2562" width="10" style="233" customWidth="1"/>
    <col min="2563" max="2563" width="11.42578125" style="233" customWidth="1"/>
    <col min="2564" max="2814" width="9.140625" style="233"/>
    <col min="2815" max="2815" width="5.85546875" style="233" customWidth="1"/>
    <col min="2816" max="2816" width="54.140625" style="233" customWidth="1"/>
    <col min="2817" max="2817" width="13.7109375" style="233" customWidth="1"/>
    <col min="2818" max="2818" width="10" style="233" customWidth="1"/>
    <col min="2819" max="2819" width="11.42578125" style="233" customWidth="1"/>
    <col min="2820" max="3070" width="9.140625" style="233"/>
    <col min="3071" max="3071" width="5.85546875" style="233" customWidth="1"/>
    <col min="3072" max="3072" width="54.140625" style="233" customWidth="1"/>
    <col min="3073" max="3073" width="13.7109375" style="233" customWidth="1"/>
    <col min="3074" max="3074" width="10" style="233" customWidth="1"/>
    <col min="3075" max="3075" width="11.42578125" style="233" customWidth="1"/>
    <col min="3076" max="3326" width="9.140625" style="233"/>
    <col min="3327" max="3327" width="5.85546875" style="233" customWidth="1"/>
    <col min="3328" max="3328" width="54.140625" style="233" customWidth="1"/>
    <col min="3329" max="3329" width="13.7109375" style="233" customWidth="1"/>
    <col min="3330" max="3330" width="10" style="233" customWidth="1"/>
    <col min="3331" max="3331" width="11.42578125" style="233" customWidth="1"/>
    <col min="3332" max="3582" width="9.140625" style="233"/>
    <col min="3583" max="3583" width="5.85546875" style="233" customWidth="1"/>
    <col min="3584" max="3584" width="54.140625" style="233" customWidth="1"/>
    <col min="3585" max="3585" width="13.7109375" style="233" customWidth="1"/>
    <col min="3586" max="3586" width="10" style="233" customWidth="1"/>
    <col min="3587" max="3587" width="11.42578125" style="233" customWidth="1"/>
    <col min="3588" max="3838" width="9.140625" style="233"/>
    <col min="3839" max="3839" width="5.85546875" style="233" customWidth="1"/>
    <col min="3840" max="3840" width="54.140625" style="233" customWidth="1"/>
    <col min="3841" max="3841" width="13.7109375" style="233" customWidth="1"/>
    <col min="3842" max="3842" width="10" style="233" customWidth="1"/>
    <col min="3843" max="3843" width="11.42578125" style="233" customWidth="1"/>
    <col min="3844" max="4094" width="9.140625" style="233"/>
    <col min="4095" max="4095" width="5.85546875" style="233" customWidth="1"/>
    <col min="4096" max="4096" width="54.140625" style="233" customWidth="1"/>
    <col min="4097" max="4097" width="13.7109375" style="233" customWidth="1"/>
    <col min="4098" max="4098" width="10" style="233" customWidth="1"/>
    <col min="4099" max="4099" width="11.42578125" style="233" customWidth="1"/>
    <col min="4100" max="4350" width="9.140625" style="233"/>
    <col min="4351" max="4351" width="5.85546875" style="233" customWidth="1"/>
    <col min="4352" max="4352" width="54.140625" style="233" customWidth="1"/>
    <col min="4353" max="4353" width="13.7109375" style="233" customWidth="1"/>
    <col min="4354" max="4354" width="10" style="233" customWidth="1"/>
    <col min="4355" max="4355" width="11.42578125" style="233" customWidth="1"/>
    <col min="4356" max="4606" width="9.140625" style="233"/>
    <col min="4607" max="4607" width="5.85546875" style="233" customWidth="1"/>
    <col min="4608" max="4608" width="54.140625" style="233" customWidth="1"/>
    <col min="4609" max="4609" width="13.7109375" style="233" customWidth="1"/>
    <col min="4610" max="4610" width="10" style="233" customWidth="1"/>
    <col min="4611" max="4611" width="11.42578125" style="233" customWidth="1"/>
    <col min="4612" max="4862" width="9.140625" style="233"/>
    <col min="4863" max="4863" width="5.85546875" style="233" customWidth="1"/>
    <col min="4864" max="4864" width="54.140625" style="233" customWidth="1"/>
    <col min="4865" max="4865" width="13.7109375" style="233" customWidth="1"/>
    <col min="4866" max="4866" width="10" style="233" customWidth="1"/>
    <col min="4867" max="4867" width="11.42578125" style="233" customWidth="1"/>
    <col min="4868" max="5118" width="9.140625" style="233"/>
    <col min="5119" max="5119" width="5.85546875" style="233" customWidth="1"/>
    <col min="5120" max="5120" width="54.140625" style="233" customWidth="1"/>
    <col min="5121" max="5121" width="13.7109375" style="233" customWidth="1"/>
    <col min="5122" max="5122" width="10" style="233" customWidth="1"/>
    <col min="5123" max="5123" width="11.42578125" style="233" customWidth="1"/>
    <col min="5124" max="5374" width="9.140625" style="233"/>
    <col min="5375" max="5375" width="5.85546875" style="233" customWidth="1"/>
    <col min="5376" max="5376" width="54.140625" style="233" customWidth="1"/>
    <col min="5377" max="5377" width="13.7109375" style="233" customWidth="1"/>
    <col min="5378" max="5378" width="10" style="233" customWidth="1"/>
    <col min="5379" max="5379" width="11.42578125" style="233" customWidth="1"/>
    <col min="5380" max="5630" width="9.140625" style="233"/>
    <col min="5631" max="5631" width="5.85546875" style="233" customWidth="1"/>
    <col min="5632" max="5632" width="54.140625" style="233" customWidth="1"/>
    <col min="5633" max="5633" width="13.7109375" style="233" customWidth="1"/>
    <col min="5634" max="5634" width="10" style="233" customWidth="1"/>
    <col min="5635" max="5635" width="11.42578125" style="233" customWidth="1"/>
    <col min="5636" max="5886" width="9.140625" style="233"/>
    <col min="5887" max="5887" width="5.85546875" style="233" customWidth="1"/>
    <col min="5888" max="5888" width="54.140625" style="233" customWidth="1"/>
    <col min="5889" max="5889" width="13.7109375" style="233" customWidth="1"/>
    <col min="5890" max="5890" width="10" style="233" customWidth="1"/>
    <col min="5891" max="5891" width="11.42578125" style="233" customWidth="1"/>
    <col min="5892" max="6142" width="9.140625" style="233"/>
    <col min="6143" max="6143" width="5.85546875" style="233" customWidth="1"/>
    <col min="6144" max="6144" width="54.140625" style="233" customWidth="1"/>
    <col min="6145" max="6145" width="13.7109375" style="233" customWidth="1"/>
    <col min="6146" max="6146" width="10" style="233" customWidth="1"/>
    <col min="6147" max="6147" width="11.42578125" style="233" customWidth="1"/>
    <col min="6148" max="6398" width="9.140625" style="233"/>
    <col min="6399" max="6399" width="5.85546875" style="233" customWidth="1"/>
    <col min="6400" max="6400" width="54.140625" style="233" customWidth="1"/>
    <col min="6401" max="6401" width="13.7109375" style="233" customWidth="1"/>
    <col min="6402" max="6402" width="10" style="233" customWidth="1"/>
    <col min="6403" max="6403" width="11.42578125" style="233" customWidth="1"/>
    <col min="6404" max="6654" width="9.140625" style="233"/>
    <col min="6655" max="6655" width="5.85546875" style="233" customWidth="1"/>
    <col min="6656" max="6656" width="54.140625" style="233" customWidth="1"/>
    <col min="6657" max="6657" width="13.7109375" style="233" customWidth="1"/>
    <col min="6658" max="6658" width="10" style="233" customWidth="1"/>
    <col min="6659" max="6659" width="11.42578125" style="233" customWidth="1"/>
    <col min="6660" max="6910" width="9.140625" style="233"/>
    <col min="6911" max="6911" width="5.85546875" style="233" customWidth="1"/>
    <col min="6912" max="6912" width="54.140625" style="233" customWidth="1"/>
    <col min="6913" max="6913" width="13.7109375" style="233" customWidth="1"/>
    <col min="6914" max="6914" width="10" style="233" customWidth="1"/>
    <col min="6915" max="6915" width="11.42578125" style="233" customWidth="1"/>
    <col min="6916" max="7166" width="9.140625" style="233"/>
    <col min="7167" max="7167" width="5.85546875" style="233" customWidth="1"/>
    <col min="7168" max="7168" width="54.140625" style="233" customWidth="1"/>
    <col min="7169" max="7169" width="13.7109375" style="233" customWidth="1"/>
    <col min="7170" max="7170" width="10" style="233" customWidth="1"/>
    <col min="7171" max="7171" width="11.42578125" style="233" customWidth="1"/>
    <col min="7172" max="7422" width="9.140625" style="233"/>
    <col min="7423" max="7423" width="5.85546875" style="233" customWidth="1"/>
    <col min="7424" max="7424" width="54.140625" style="233" customWidth="1"/>
    <col min="7425" max="7425" width="13.7109375" style="233" customWidth="1"/>
    <col min="7426" max="7426" width="10" style="233" customWidth="1"/>
    <col min="7427" max="7427" width="11.42578125" style="233" customWidth="1"/>
    <col min="7428" max="7678" width="9.140625" style="233"/>
    <col min="7679" max="7679" width="5.85546875" style="233" customWidth="1"/>
    <col min="7680" max="7680" width="54.140625" style="233" customWidth="1"/>
    <col min="7681" max="7681" width="13.7109375" style="233" customWidth="1"/>
    <col min="7682" max="7682" width="10" style="233" customWidth="1"/>
    <col min="7683" max="7683" width="11.42578125" style="233" customWidth="1"/>
    <col min="7684" max="7934" width="9.140625" style="233"/>
    <col min="7935" max="7935" width="5.85546875" style="233" customWidth="1"/>
    <col min="7936" max="7936" width="54.140625" style="233" customWidth="1"/>
    <col min="7937" max="7937" width="13.7109375" style="233" customWidth="1"/>
    <col min="7938" max="7938" width="10" style="233" customWidth="1"/>
    <col min="7939" max="7939" width="11.42578125" style="233" customWidth="1"/>
    <col min="7940" max="8190" width="9.140625" style="233"/>
    <col min="8191" max="8191" width="5.85546875" style="233" customWidth="1"/>
    <col min="8192" max="8192" width="54.140625" style="233" customWidth="1"/>
    <col min="8193" max="8193" width="13.7109375" style="233" customWidth="1"/>
    <col min="8194" max="8194" width="10" style="233" customWidth="1"/>
    <col min="8195" max="8195" width="11.42578125" style="233" customWidth="1"/>
    <col min="8196" max="8446" width="9.140625" style="233"/>
    <col min="8447" max="8447" width="5.85546875" style="233" customWidth="1"/>
    <col min="8448" max="8448" width="54.140625" style="233" customWidth="1"/>
    <col min="8449" max="8449" width="13.7109375" style="233" customWidth="1"/>
    <col min="8450" max="8450" width="10" style="233" customWidth="1"/>
    <col min="8451" max="8451" width="11.42578125" style="233" customWidth="1"/>
    <col min="8452" max="8702" width="9.140625" style="233"/>
    <col min="8703" max="8703" width="5.85546875" style="233" customWidth="1"/>
    <col min="8704" max="8704" width="54.140625" style="233" customWidth="1"/>
    <col min="8705" max="8705" width="13.7109375" style="233" customWidth="1"/>
    <col min="8706" max="8706" width="10" style="233" customWidth="1"/>
    <col min="8707" max="8707" width="11.42578125" style="233" customWidth="1"/>
    <col min="8708" max="8958" width="9.140625" style="233"/>
    <col min="8959" max="8959" width="5.85546875" style="233" customWidth="1"/>
    <col min="8960" max="8960" width="54.140625" style="233" customWidth="1"/>
    <col min="8961" max="8961" width="13.7109375" style="233" customWidth="1"/>
    <col min="8962" max="8962" width="10" style="233" customWidth="1"/>
    <col min="8963" max="8963" width="11.42578125" style="233" customWidth="1"/>
    <col min="8964" max="9214" width="9.140625" style="233"/>
    <col min="9215" max="9215" width="5.85546875" style="233" customWidth="1"/>
    <col min="9216" max="9216" width="54.140625" style="233" customWidth="1"/>
    <col min="9217" max="9217" width="13.7109375" style="233" customWidth="1"/>
    <col min="9218" max="9218" width="10" style="233" customWidth="1"/>
    <col min="9219" max="9219" width="11.42578125" style="233" customWidth="1"/>
    <col min="9220" max="9470" width="9.140625" style="233"/>
    <col min="9471" max="9471" width="5.85546875" style="233" customWidth="1"/>
    <col min="9472" max="9472" width="54.140625" style="233" customWidth="1"/>
    <col min="9473" max="9473" width="13.7109375" style="233" customWidth="1"/>
    <col min="9474" max="9474" width="10" style="233" customWidth="1"/>
    <col min="9475" max="9475" width="11.42578125" style="233" customWidth="1"/>
    <col min="9476" max="9726" width="9.140625" style="233"/>
    <col min="9727" max="9727" width="5.85546875" style="233" customWidth="1"/>
    <col min="9728" max="9728" width="54.140625" style="233" customWidth="1"/>
    <col min="9729" max="9729" width="13.7109375" style="233" customWidth="1"/>
    <col min="9730" max="9730" width="10" style="233" customWidth="1"/>
    <col min="9731" max="9731" width="11.42578125" style="233" customWidth="1"/>
    <col min="9732" max="9982" width="9.140625" style="233"/>
    <col min="9983" max="9983" width="5.85546875" style="233" customWidth="1"/>
    <col min="9984" max="9984" width="54.140625" style="233" customWidth="1"/>
    <col min="9985" max="9985" width="13.7109375" style="233" customWidth="1"/>
    <col min="9986" max="9986" width="10" style="233" customWidth="1"/>
    <col min="9987" max="9987" width="11.42578125" style="233" customWidth="1"/>
    <col min="9988" max="10238" width="9.140625" style="233"/>
    <col min="10239" max="10239" width="5.85546875" style="233" customWidth="1"/>
    <col min="10240" max="10240" width="54.140625" style="233" customWidth="1"/>
    <col min="10241" max="10241" width="13.7109375" style="233" customWidth="1"/>
    <col min="10242" max="10242" width="10" style="233" customWidth="1"/>
    <col min="10243" max="10243" width="11.42578125" style="233" customWidth="1"/>
    <col min="10244" max="10494" width="9.140625" style="233"/>
    <col min="10495" max="10495" width="5.85546875" style="233" customWidth="1"/>
    <col min="10496" max="10496" width="54.140625" style="233" customWidth="1"/>
    <col min="10497" max="10497" width="13.7109375" style="233" customWidth="1"/>
    <col min="10498" max="10498" width="10" style="233" customWidth="1"/>
    <col min="10499" max="10499" width="11.42578125" style="233" customWidth="1"/>
    <col min="10500" max="10750" width="9.140625" style="233"/>
    <col min="10751" max="10751" width="5.85546875" style="233" customWidth="1"/>
    <col min="10752" max="10752" width="54.140625" style="233" customWidth="1"/>
    <col min="10753" max="10753" width="13.7109375" style="233" customWidth="1"/>
    <col min="10754" max="10754" width="10" style="233" customWidth="1"/>
    <col min="10755" max="10755" width="11.42578125" style="233" customWidth="1"/>
    <col min="10756" max="11006" width="9.140625" style="233"/>
    <col min="11007" max="11007" width="5.85546875" style="233" customWidth="1"/>
    <col min="11008" max="11008" width="54.140625" style="233" customWidth="1"/>
    <col min="11009" max="11009" width="13.7109375" style="233" customWidth="1"/>
    <col min="11010" max="11010" width="10" style="233" customWidth="1"/>
    <col min="11011" max="11011" width="11.42578125" style="233" customWidth="1"/>
    <col min="11012" max="11262" width="9.140625" style="233"/>
    <col min="11263" max="11263" width="5.85546875" style="233" customWidth="1"/>
    <col min="11264" max="11264" width="54.140625" style="233" customWidth="1"/>
    <col min="11265" max="11265" width="13.7109375" style="233" customWidth="1"/>
    <col min="11266" max="11266" width="10" style="233" customWidth="1"/>
    <col min="11267" max="11267" width="11.42578125" style="233" customWidth="1"/>
    <col min="11268" max="11518" width="9.140625" style="233"/>
    <col min="11519" max="11519" width="5.85546875" style="233" customWidth="1"/>
    <col min="11520" max="11520" width="54.140625" style="233" customWidth="1"/>
    <col min="11521" max="11521" width="13.7109375" style="233" customWidth="1"/>
    <col min="11522" max="11522" width="10" style="233" customWidth="1"/>
    <col min="11523" max="11523" width="11.42578125" style="233" customWidth="1"/>
    <col min="11524" max="11774" width="9.140625" style="233"/>
    <col min="11775" max="11775" width="5.85546875" style="233" customWidth="1"/>
    <col min="11776" max="11776" width="54.140625" style="233" customWidth="1"/>
    <col min="11777" max="11777" width="13.7109375" style="233" customWidth="1"/>
    <col min="11778" max="11778" width="10" style="233" customWidth="1"/>
    <col min="11779" max="11779" width="11.42578125" style="233" customWidth="1"/>
    <col min="11780" max="12030" width="9.140625" style="233"/>
    <col min="12031" max="12031" width="5.85546875" style="233" customWidth="1"/>
    <col min="12032" max="12032" width="54.140625" style="233" customWidth="1"/>
    <col min="12033" max="12033" width="13.7109375" style="233" customWidth="1"/>
    <col min="12034" max="12034" width="10" style="233" customWidth="1"/>
    <col min="12035" max="12035" width="11.42578125" style="233" customWidth="1"/>
    <col min="12036" max="12286" width="9.140625" style="233"/>
    <col min="12287" max="12287" width="5.85546875" style="233" customWidth="1"/>
    <col min="12288" max="12288" width="54.140625" style="233" customWidth="1"/>
    <col min="12289" max="12289" width="13.7109375" style="233" customWidth="1"/>
    <col min="12290" max="12290" width="10" style="233" customWidth="1"/>
    <col min="12291" max="12291" width="11.42578125" style="233" customWidth="1"/>
    <col min="12292" max="12542" width="9.140625" style="233"/>
    <col min="12543" max="12543" width="5.85546875" style="233" customWidth="1"/>
    <col min="12544" max="12544" width="54.140625" style="233" customWidth="1"/>
    <col min="12545" max="12545" width="13.7109375" style="233" customWidth="1"/>
    <col min="12546" max="12546" width="10" style="233" customWidth="1"/>
    <col min="12547" max="12547" width="11.42578125" style="233" customWidth="1"/>
    <col min="12548" max="12798" width="9.140625" style="233"/>
    <col min="12799" max="12799" width="5.85546875" style="233" customWidth="1"/>
    <col min="12800" max="12800" width="54.140625" style="233" customWidth="1"/>
    <col min="12801" max="12801" width="13.7109375" style="233" customWidth="1"/>
    <col min="12802" max="12802" width="10" style="233" customWidth="1"/>
    <col min="12803" max="12803" width="11.42578125" style="233" customWidth="1"/>
    <col min="12804" max="13054" width="9.140625" style="233"/>
    <col min="13055" max="13055" width="5.85546875" style="233" customWidth="1"/>
    <col min="13056" max="13056" width="54.140625" style="233" customWidth="1"/>
    <col min="13057" max="13057" width="13.7109375" style="233" customWidth="1"/>
    <col min="13058" max="13058" width="10" style="233" customWidth="1"/>
    <col min="13059" max="13059" width="11.42578125" style="233" customWidth="1"/>
    <col min="13060" max="13310" width="9.140625" style="233"/>
    <col min="13311" max="13311" width="5.85546875" style="233" customWidth="1"/>
    <col min="13312" max="13312" width="54.140625" style="233" customWidth="1"/>
    <col min="13313" max="13313" width="13.7109375" style="233" customWidth="1"/>
    <col min="13314" max="13314" width="10" style="233" customWidth="1"/>
    <col min="13315" max="13315" width="11.42578125" style="233" customWidth="1"/>
    <col min="13316" max="13566" width="9.140625" style="233"/>
    <col min="13567" max="13567" width="5.85546875" style="233" customWidth="1"/>
    <col min="13568" max="13568" width="54.140625" style="233" customWidth="1"/>
    <col min="13569" max="13569" width="13.7109375" style="233" customWidth="1"/>
    <col min="13570" max="13570" width="10" style="233" customWidth="1"/>
    <col min="13571" max="13571" width="11.42578125" style="233" customWidth="1"/>
    <col min="13572" max="13822" width="9.140625" style="233"/>
    <col min="13823" max="13823" width="5.85546875" style="233" customWidth="1"/>
    <col min="13824" max="13824" width="54.140625" style="233" customWidth="1"/>
    <col min="13825" max="13825" width="13.7109375" style="233" customWidth="1"/>
    <col min="13826" max="13826" width="10" style="233" customWidth="1"/>
    <col min="13827" max="13827" width="11.42578125" style="233" customWidth="1"/>
    <col min="13828" max="14078" width="9.140625" style="233"/>
    <col min="14079" max="14079" width="5.85546875" style="233" customWidth="1"/>
    <col min="14080" max="14080" width="54.140625" style="233" customWidth="1"/>
    <col min="14081" max="14081" width="13.7109375" style="233" customWidth="1"/>
    <col min="14082" max="14082" width="10" style="233" customWidth="1"/>
    <col min="14083" max="14083" width="11.42578125" style="233" customWidth="1"/>
    <col min="14084" max="14334" width="9.140625" style="233"/>
    <col min="14335" max="14335" width="5.85546875" style="233" customWidth="1"/>
    <col min="14336" max="14336" width="54.140625" style="233" customWidth="1"/>
    <col min="14337" max="14337" width="13.7109375" style="233" customWidth="1"/>
    <col min="14338" max="14338" width="10" style="233" customWidth="1"/>
    <col min="14339" max="14339" width="11.42578125" style="233" customWidth="1"/>
    <col min="14340" max="14590" width="9.140625" style="233"/>
    <col min="14591" max="14591" width="5.85546875" style="233" customWidth="1"/>
    <col min="14592" max="14592" width="54.140625" style="233" customWidth="1"/>
    <col min="14593" max="14593" width="13.7109375" style="233" customWidth="1"/>
    <col min="14594" max="14594" width="10" style="233" customWidth="1"/>
    <col min="14595" max="14595" width="11.42578125" style="233" customWidth="1"/>
    <col min="14596" max="14846" width="9.140625" style="233"/>
    <col min="14847" max="14847" width="5.85546875" style="233" customWidth="1"/>
    <col min="14848" max="14848" width="54.140625" style="233" customWidth="1"/>
    <col min="14849" max="14849" width="13.7109375" style="233" customWidth="1"/>
    <col min="14850" max="14850" width="10" style="233" customWidth="1"/>
    <col min="14851" max="14851" width="11.42578125" style="233" customWidth="1"/>
    <col min="14852" max="15102" width="9.140625" style="233"/>
    <col min="15103" max="15103" width="5.85546875" style="233" customWidth="1"/>
    <col min="15104" max="15104" width="54.140625" style="233" customWidth="1"/>
    <col min="15105" max="15105" width="13.7109375" style="233" customWidth="1"/>
    <col min="15106" max="15106" width="10" style="233" customWidth="1"/>
    <col min="15107" max="15107" width="11.42578125" style="233" customWidth="1"/>
    <col min="15108" max="15358" width="9.140625" style="233"/>
    <col min="15359" max="15359" width="5.85546875" style="233" customWidth="1"/>
    <col min="15360" max="15360" width="54.140625" style="233" customWidth="1"/>
    <col min="15361" max="15361" width="13.7109375" style="233" customWidth="1"/>
    <col min="15362" max="15362" width="10" style="233" customWidth="1"/>
    <col min="15363" max="15363" width="11.42578125" style="233" customWidth="1"/>
    <col min="15364" max="15614" width="9.140625" style="233"/>
    <col min="15615" max="15615" width="5.85546875" style="233" customWidth="1"/>
    <col min="15616" max="15616" width="54.140625" style="233" customWidth="1"/>
    <col min="15617" max="15617" width="13.7109375" style="233" customWidth="1"/>
    <col min="15618" max="15618" width="10" style="233" customWidth="1"/>
    <col min="15619" max="15619" width="11.42578125" style="233" customWidth="1"/>
    <col min="15620" max="15870" width="9.140625" style="233"/>
    <col min="15871" max="15871" width="5.85546875" style="233" customWidth="1"/>
    <col min="15872" max="15872" width="54.140625" style="233" customWidth="1"/>
    <col min="15873" max="15873" width="13.7109375" style="233" customWidth="1"/>
    <col min="15874" max="15874" width="10" style="233" customWidth="1"/>
    <col min="15875" max="15875" width="11.42578125" style="233" customWidth="1"/>
    <col min="15876" max="16126" width="9.140625" style="233"/>
    <col min="16127" max="16127" width="5.85546875" style="233" customWidth="1"/>
    <col min="16128" max="16128" width="54.140625" style="233" customWidth="1"/>
    <col min="16129" max="16129" width="13.7109375" style="233" customWidth="1"/>
    <col min="16130" max="16130" width="10" style="233" customWidth="1"/>
    <col min="16131" max="16131" width="11.42578125" style="233" customWidth="1"/>
    <col min="16132" max="16384" width="9.140625" style="233"/>
  </cols>
  <sheetData>
    <row r="1" spans="1:10" ht="19.5" customHeight="1" x14ac:dyDescent="0.25">
      <c r="B1" s="665" t="s">
        <v>361</v>
      </c>
    </row>
    <row r="2" spans="1:10" s="227" customFormat="1" ht="43.5" customHeight="1" thickBot="1" x14ac:dyDescent="0.35">
      <c r="A2" s="1086" t="s">
        <v>479</v>
      </c>
      <c r="B2" s="1086"/>
      <c r="C2" s="1086"/>
      <c r="D2" s="670"/>
    </row>
    <row r="3" spans="1:10" s="228" customFormat="1" ht="32.25" thickBot="1" x14ac:dyDescent="0.3">
      <c r="A3" s="283" t="s">
        <v>131</v>
      </c>
      <c r="B3" s="921" t="s">
        <v>132</v>
      </c>
      <c r="C3" s="922" t="s">
        <v>477</v>
      </c>
      <c r="D3" s="671"/>
      <c r="E3" s="430"/>
      <c r="F3" s="426"/>
    </row>
    <row r="4" spans="1:10" s="230" customFormat="1" ht="16.5" thickTop="1" x14ac:dyDescent="0.25">
      <c r="A4" s="365">
        <v>1</v>
      </c>
      <c r="B4" s="923" t="s">
        <v>133</v>
      </c>
      <c r="C4" s="924">
        <v>1184124.8412770003</v>
      </c>
      <c r="D4" s="417"/>
      <c r="E4" s="432"/>
      <c r="F4" s="416"/>
      <c r="H4" s="435"/>
      <c r="I4" s="436"/>
    </row>
    <row r="5" spans="1:10" s="230" customFormat="1" ht="15.75" x14ac:dyDescent="0.25">
      <c r="A5" s="365">
        <v>2</v>
      </c>
      <c r="B5" s="925" t="s">
        <v>134</v>
      </c>
      <c r="C5" s="23">
        <v>12425.65</v>
      </c>
      <c r="D5" s="417"/>
      <c r="E5" s="432"/>
      <c r="F5" s="416"/>
      <c r="H5" s="435"/>
      <c r="I5" s="436"/>
    </row>
    <row r="6" spans="1:10" s="230" customFormat="1" ht="15.75" x14ac:dyDescent="0.25">
      <c r="A6" s="365">
        <v>3</v>
      </c>
      <c r="B6" s="925" t="s">
        <v>135</v>
      </c>
      <c r="C6" s="23">
        <v>0</v>
      </c>
      <c r="D6" s="417"/>
      <c r="E6" s="432"/>
      <c r="F6" s="416"/>
      <c r="H6" s="435"/>
      <c r="I6" s="436"/>
      <c r="J6" s="277"/>
    </row>
    <row r="7" spans="1:10" s="230" customFormat="1" ht="15.75" x14ac:dyDescent="0.25">
      <c r="A7" s="365">
        <v>4</v>
      </c>
      <c r="B7" s="925" t="s">
        <v>136</v>
      </c>
      <c r="C7" s="23">
        <v>36688</v>
      </c>
      <c r="D7" s="417"/>
      <c r="E7" s="432"/>
      <c r="F7" s="416"/>
      <c r="H7" s="435"/>
      <c r="I7" s="436"/>
    </row>
    <row r="8" spans="1:10" s="230" customFormat="1" ht="31.5" x14ac:dyDescent="0.25">
      <c r="A8" s="365">
        <v>5</v>
      </c>
      <c r="B8" s="925" t="s">
        <v>137</v>
      </c>
      <c r="C8" s="23">
        <v>13236.602000000001</v>
      </c>
      <c r="D8" s="417"/>
      <c r="E8" s="432"/>
      <c r="F8" s="416"/>
      <c r="H8" s="435"/>
      <c r="I8" s="436"/>
    </row>
    <row r="9" spans="1:10" s="230" customFormat="1" ht="19.5" customHeight="1" x14ac:dyDescent="0.25">
      <c r="A9" s="365">
        <v>6</v>
      </c>
      <c r="B9" s="29" t="s">
        <v>281</v>
      </c>
      <c r="C9" s="265">
        <v>168304</v>
      </c>
      <c r="D9" s="425"/>
      <c r="E9" s="432"/>
      <c r="F9" s="431"/>
      <c r="H9" s="437"/>
      <c r="I9" s="438"/>
    </row>
    <row r="10" spans="1:10" s="230" customFormat="1" ht="15.75" x14ac:dyDescent="0.25">
      <c r="A10" s="365">
        <v>7</v>
      </c>
      <c r="B10" s="925" t="s">
        <v>111</v>
      </c>
      <c r="C10" s="23">
        <v>16520</v>
      </c>
      <c r="D10" s="417"/>
      <c r="E10" s="432"/>
      <c r="F10" s="416"/>
      <c r="H10" s="435"/>
      <c r="I10" s="436"/>
    </row>
    <row r="11" spans="1:10" s="230" customFormat="1" ht="15.75" x14ac:dyDescent="0.25">
      <c r="A11" s="365">
        <v>8</v>
      </c>
      <c r="B11" s="925" t="s">
        <v>145</v>
      </c>
      <c r="C11" s="23">
        <v>600</v>
      </c>
      <c r="D11" s="417"/>
      <c r="E11" s="432"/>
      <c r="F11" s="416"/>
      <c r="H11" s="435"/>
      <c r="I11" s="436"/>
    </row>
    <row r="12" spans="1:10" s="230" customFormat="1" ht="31.5" x14ac:dyDescent="0.25">
      <c r="A12" s="365">
        <v>9</v>
      </c>
      <c r="B12" s="926" t="s">
        <v>282</v>
      </c>
      <c r="C12" s="362">
        <v>100000</v>
      </c>
      <c r="D12" s="417"/>
      <c r="E12" s="432"/>
      <c r="F12" s="416"/>
      <c r="H12" s="435"/>
      <c r="I12" s="436"/>
    </row>
    <row r="13" spans="1:10" s="230" customFormat="1" ht="31.5" x14ac:dyDescent="0.25">
      <c r="A13" s="365">
        <v>10</v>
      </c>
      <c r="B13" s="925" t="s">
        <v>148</v>
      </c>
      <c r="C13" s="23">
        <v>40571</v>
      </c>
      <c r="D13" s="417"/>
      <c r="E13" s="432"/>
      <c r="F13" s="416"/>
      <c r="H13" s="435"/>
      <c r="I13" s="436"/>
    </row>
    <row r="14" spans="1:10" s="230" customFormat="1" ht="31.5" x14ac:dyDescent="0.25">
      <c r="A14" s="365">
        <v>11</v>
      </c>
      <c r="B14" s="926" t="s">
        <v>478</v>
      </c>
      <c r="C14" s="23">
        <v>3837</v>
      </c>
      <c r="D14" s="417"/>
      <c r="E14" s="869"/>
      <c r="F14" s="416"/>
      <c r="H14" s="435"/>
      <c r="I14" s="436"/>
    </row>
    <row r="15" spans="1:10" s="230" customFormat="1" ht="15.75" x14ac:dyDescent="0.25">
      <c r="A15" s="365">
        <v>12</v>
      </c>
      <c r="B15" s="927" t="s">
        <v>147</v>
      </c>
      <c r="C15" s="23">
        <v>40500</v>
      </c>
      <c r="D15" s="425"/>
      <c r="E15" s="869"/>
      <c r="F15" s="431"/>
      <c r="H15" s="435"/>
      <c r="I15" s="436"/>
    </row>
    <row r="16" spans="1:10" s="230" customFormat="1" ht="15.75" x14ac:dyDescent="0.25">
      <c r="A16" s="365">
        <v>13</v>
      </c>
      <c r="B16" s="927" t="s">
        <v>175</v>
      </c>
      <c r="C16" s="23">
        <v>1000</v>
      </c>
      <c r="D16" s="417"/>
      <c r="E16" s="869"/>
      <c r="F16" s="416"/>
      <c r="H16" s="435"/>
      <c r="I16" s="436"/>
    </row>
    <row r="17" spans="1:9" s="230" customFormat="1" ht="19.5" customHeight="1" x14ac:dyDescent="0.25">
      <c r="A17" s="365">
        <v>14</v>
      </c>
      <c r="B17" s="928" t="s">
        <v>283</v>
      </c>
      <c r="C17" s="396">
        <v>6178</v>
      </c>
      <c r="D17" s="417"/>
      <c r="E17" s="869"/>
      <c r="F17" s="416"/>
      <c r="H17" s="435"/>
      <c r="I17" s="436"/>
    </row>
    <row r="18" spans="1:9" s="230" customFormat="1" ht="16.5" thickBot="1" x14ac:dyDescent="0.3">
      <c r="A18" s="365"/>
      <c r="B18" s="928"/>
      <c r="C18" s="366"/>
      <c r="D18" s="425"/>
      <c r="E18" s="869"/>
      <c r="F18" s="431"/>
    </row>
    <row r="19" spans="1:9" s="230" customFormat="1" ht="16.5" thickBot="1" x14ac:dyDescent="0.3">
      <c r="A19" s="284"/>
      <c r="B19" s="929" t="s">
        <v>176</v>
      </c>
      <c r="C19" s="286">
        <f>SUM(C4:C18)</f>
        <v>1623985.0932770001</v>
      </c>
      <c r="D19" s="409"/>
      <c r="E19" s="432"/>
      <c r="F19" s="432"/>
    </row>
    <row r="20" spans="1:9" s="230" customFormat="1" ht="15.75" x14ac:dyDescent="0.25">
      <c r="A20" s="231"/>
      <c r="B20" s="278"/>
      <c r="C20" s="279"/>
      <c r="D20" s="279"/>
      <c r="E20" s="280"/>
      <c r="F20" s="280"/>
    </row>
    <row r="21" spans="1:9" s="238" customFormat="1" ht="11.25" hidden="1" customHeight="1" x14ac:dyDescent="0.2">
      <c r="A21" s="233"/>
      <c r="B21" s="243"/>
      <c r="C21" s="232"/>
      <c r="D21" s="232"/>
    </row>
    <row r="22" spans="1:9" s="237" customFormat="1" ht="12" thickBot="1" x14ac:dyDescent="0.25">
      <c r="A22" s="233"/>
      <c r="B22" s="243"/>
      <c r="C22" s="232"/>
      <c r="D22" s="232"/>
    </row>
    <row r="23" spans="1:9" s="237" customFormat="1" hidden="1" x14ac:dyDescent="0.2">
      <c r="A23" s="233"/>
      <c r="B23" s="243"/>
      <c r="C23" s="232"/>
      <c r="D23" s="232"/>
    </row>
    <row r="24" spans="1:9" s="237" customFormat="1" ht="32.25" thickBot="1" x14ac:dyDescent="0.3">
      <c r="A24" s="990" t="s">
        <v>131</v>
      </c>
      <c r="B24" s="991" t="s">
        <v>132</v>
      </c>
      <c r="C24" s="992" t="s">
        <v>477</v>
      </c>
      <c r="D24" s="232"/>
    </row>
    <row r="25" spans="1:9" ht="31.5" x14ac:dyDescent="0.25">
      <c r="A25" s="989">
        <v>1</v>
      </c>
      <c r="B25" s="264" t="s">
        <v>717</v>
      </c>
      <c r="C25" s="262">
        <v>1004823</v>
      </c>
    </row>
    <row r="26" spans="1:9" ht="31.5" x14ac:dyDescent="0.25">
      <c r="A26" s="988">
        <v>2</v>
      </c>
      <c r="B26" s="261" t="s">
        <v>718</v>
      </c>
      <c r="C26" s="23">
        <v>522808</v>
      </c>
    </row>
    <row r="27" spans="1:9" ht="32.25" thickBot="1" x14ac:dyDescent="0.3">
      <c r="A27" s="993">
        <v>3</v>
      </c>
      <c r="B27" s="994" t="s">
        <v>719</v>
      </c>
      <c r="C27" s="995">
        <v>375000</v>
      </c>
    </row>
    <row r="28" spans="1:9" ht="16.5" thickBot="1" x14ac:dyDescent="0.3">
      <c r="A28" s="996"/>
      <c r="B28" s="997" t="s">
        <v>547</v>
      </c>
      <c r="C28" s="286">
        <f>SUM(C25:C27)</f>
        <v>1902631</v>
      </c>
    </row>
    <row r="31" spans="1:9" ht="15.75" x14ac:dyDescent="0.25">
      <c r="B31" s="222" t="s">
        <v>129</v>
      </c>
      <c r="C31" s="16" t="s">
        <v>38</v>
      </c>
    </row>
  </sheetData>
  <mergeCells count="1">
    <mergeCell ref="A2:C2"/>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71"/>
  <sheetViews>
    <sheetView workbookViewId="0">
      <selection activeCell="G46" sqref="G46"/>
    </sheetView>
  </sheetViews>
  <sheetFormatPr defaultRowHeight="12.75" x14ac:dyDescent="0.2"/>
  <cols>
    <col min="1" max="1" width="62.5703125" style="28" customWidth="1"/>
    <col min="2" max="2" width="9.7109375" style="25" customWidth="1"/>
    <col min="3" max="3" width="13.5703125" style="37" customWidth="1"/>
    <col min="4" max="4" width="9.7109375" style="25" customWidth="1"/>
    <col min="5" max="5" width="10.5703125" style="25" customWidth="1"/>
    <col min="6" max="251" width="9.140625" style="25"/>
    <col min="252" max="252" width="62.5703125" style="25" customWidth="1"/>
    <col min="253" max="253" width="9.7109375" style="25" customWidth="1"/>
    <col min="254" max="255" width="13.5703125" style="25" customWidth="1"/>
    <col min="256" max="256" width="9.5703125" style="25" bestFit="1" customWidth="1"/>
    <col min="257" max="257" width="10.28515625" style="25" customWidth="1"/>
    <col min="258" max="258" width="9.140625" style="25" customWidth="1"/>
    <col min="259" max="259" width="9.28515625" style="25" customWidth="1"/>
    <col min="260" max="260" width="9.7109375" style="25" customWidth="1"/>
    <col min="261" max="507" width="9.140625" style="25"/>
    <col min="508" max="508" width="62.5703125" style="25" customWidth="1"/>
    <col min="509" max="509" width="9.7109375" style="25" customWidth="1"/>
    <col min="510" max="511" width="13.5703125" style="25" customWidth="1"/>
    <col min="512" max="512" width="9.5703125" style="25" bestFit="1" customWidth="1"/>
    <col min="513" max="513" width="10.28515625" style="25" customWidth="1"/>
    <col min="514" max="514" width="9.140625" style="25" customWidth="1"/>
    <col min="515" max="515" width="9.28515625" style="25" customWidth="1"/>
    <col min="516" max="516" width="9.7109375" style="25" customWidth="1"/>
    <col min="517" max="763" width="9.140625" style="25"/>
    <col min="764" max="764" width="62.5703125" style="25" customWidth="1"/>
    <col min="765" max="765" width="9.7109375" style="25" customWidth="1"/>
    <col min="766" max="767" width="13.5703125" style="25" customWidth="1"/>
    <col min="768" max="768" width="9.5703125" style="25" bestFit="1" customWidth="1"/>
    <col min="769" max="769" width="10.28515625" style="25" customWidth="1"/>
    <col min="770" max="770" width="9.140625" style="25" customWidth="1"/>
    <col min="771" max="771" width="9.28515625" style="25" customWidth="1"/>
    <col min="772" max="772" width="9.7109375" style="25" customWidth="1"/>
    <col min="773" max="1019" width="9.140625" style="25"/>
    <col min="1020" max="1020" width="62.5703125" style="25" customWidth="1"/>
    <col min="1021" max="1021" width="9.7109375" style="25" customWidth="1"/>
    <col min="1022" max="1023" width="13.5703125" style="25" customWidth="1"/>
    <col min="1024" max="1024" width="9.5703125" style="25" bestFit="1" customWidth="1"/>
    <col min="1025" max="1025" width="10.28515625" style="25" customWidth="1"/>
    <col min="1026" max="1026" width="9.140625" style="25" customWidth="1"/>
    <col min="1027" max="1027" width="9.28515625" style="25" customWidth="1"/>
    <col min="1028" max="1028" width="9.7109375" style="25" customWidth="1"/>
    <col min="1029" max="1275" width="9.140625" style="25"/>
    <col min="1276" max="1276" width="62.5703125" style="25" customWidth="1"/>
    <col min="1277" max="1277" width="9.7109375" style="25" customWidth="1"/>
    <col min="1278" max="1279" width="13.5703125" style="25" customWidth="1"/>
    <col min="1280" max="1280" width="9.5703125" style="25" bestFit="1" customWidth="1"/>
    <col min="1281" max="1281" width="10.28515625" style="25" customWidth="1"/>
    <col min="1282" max="1282" width="9.140625" style="25" customWidth="1"/>
    <col min="1283" max="1283" width="9.28515625" style="25" customWidth="1"/>
    <col min="1284" max="1284" width="9.7109375" style="25" customWidth="1"/>
    <col min="1285" max="1531" width="9.140625" style="25"/>
    <col min="1532" max="1532" width="62.5703125" style="25" customWidth="1"/>
    <col min="1533" max="1533" width="9.7109375" style="25" customWidth="1"/>
    <col min="1534" max="1535" width="13.5703125" style="25" customWidth="1"/>
    <col min="1536" max="1536" width="9.5703125" style="25" bestFit="1" customWidth="1"/>
    <col min="1537" max="1537" width="10.28515625" style="25" customWidth="1"/>
    <col min="1538" max="1538" width="9.140625" style="25" customWidth="1"/>
    <col min="1539" max="1539" width="9.28515625" style="25" customWidth="1"/>
    <col min="1540" max="1540" width="9.7109375" style="25" customWidth="1"/>
    <col min="1541" max="1787" width="9.140625" style="25"/>
    <col min="1788" max="1788" width="62.5703125" style="25" customWidth="1"/>
    <col min="1789" max="1789" width="9.7109375" style="25" customWidth="1"/>
    <col min="1790" max="1791" width="13.5703125" style="25" customWidth="1"/>
    <col min="1792" max="1792" width="9.5703125" style="25" bestFit="1" customWidth="1"/>
    <col min="1793" max="1793" width="10.28515625" style="25" customWidth="1"/>
    <col min="1794" max="1794" width="9.140625" style="25" customWidth="1"/>
    <col min="1795" max="1795" width="9.28515625" style="25" customWidth="1"/>
    <col min="1796" max="1796" width="9.7109375" style="25" customWidth="1"/>
    <col min="1797" max="2043" width="9.140625" style="25"/>
    <col min="2044" max="2044" width="62.5703125" style="25" customWidth="1"/>
    <col min="2045" max="2045" width="9.7109375" style="25" customWidth="1"/>
    <col min="2046" max="2047" width="13.5703125" style="25" customWidth="1"/>
    <col min="2048" max="2048" width="9.5703125" style="25" bestFit="1" customWidth="1"/>
    <col min="2049" max="2049" width="10.28515625" style="25" customWidth="1"/>
    <col min="2050" max="2050" width="9.140625" style="25" customWidth="1"/>
    <col min="2051" max="2051" width="9.28515625" style="25" customWidth="1"/>
    <col min="2052" max="2052" width="9.7109375" style="25" customWidth="1"/>
    <col min="2053" max="2299" width="9.140625" style="25"/>
    <col min="2300" max="2300" width="62.5703125" style="25" customWidth="1"/>
    <col min="2301" max="2301" width="9.7109375" style="25" customWidth="1"/>
    <col min="2302" max="2303" width="13.5703125" style="25" customWidth="1"/>
    <col min="2304" max="2304" width="9.5703125" style="25" bestFit="1" customWidth="1"/>
    <col min="2305" max="2305" width="10.28515625" style="25" customWidth="1"/>
    <col min="2306" max="2306" width="9.140625" style="25" customWidth="1"/>
    <col min="2307" max="2307" width="9.28515625" style="25" customWidth="1"/>
    <col min="2308" max="2308" width="9.7109375" style="25" customWidth="1"/>
    <col min="2309" max="2555" width="9.140625" style="25"/>
    <col min="2556" max="2556" width="62.5703125" style="25" customWidth="1"/>
    <col min="2557" max="2557" width="9.7109375" style="25" customWidth="1"/>
    <col min="2558" max="2559" width="13.5703125" style="25" customWidth="1"/>
    <col min="2560" max="2560" width="9.5703125" style="25" bestFit="1" customWidth="1"/>
    <col min="2561" max="2561" width="10.28515625" style="25" customWidth="1"/>
    <col min="2562" max="2562" width="9.140625" style="25" customWidth="1"/>
    <col min="2563" max="2563" width="9.28515625" style="25" customWidth="1"/>
    <col min="2564" max="2564" width="9.7109375" style="25" customWidth="1"/>
    <col min="2565" max="2811" width="9.140625" style="25"/>
    <col min="2812" max="2812" width="62.5703125" style="25" customWidth="1"/>
    <col min="2813" max="2813" width="9.7109375" style="25" customWidth="1"/>
    <col min="2814" max="2815" width="13.5703125" style="25" customWidth="1"/>
    <col min="2816" max="2816" width="9.5703125" style="25" bestFit="1" customWidth="1"/>
    <col min="2817" max="2817" width="10.28515625" style="25" customWidth="1"/>
    <col min="2818" max="2818" width="9.140625" style="25" customWidth="1"/>
    <col min="2819" max="2819" width="9.28515625" style="25" customWidth="1"/>
    <col min="2820" max="2820" width="9.7109375" style="25" customWidth="1"/>
    <col min="2821" max="3067" width="9.140625" style="25"/>
    <col min="3068" max="3068" width="62.5703125" style="25" customWidth="1"/>
    <col min="3069" max="3069" width="9.7109375" style="25" customWidth="1"/>
    <col min="3070" max="3071" width="13.5703125" style="25" customWidth="1"/>
    <col min="3072" max="3072" width="9.5703125" style="25" bestFit="1" customWidth="1"/>
    <col min="3073" max="3073" width="10.28515625" style="25" customWidth="1"/>
    <col min="3074" max="3074" width="9.140625" style="25" customWidth="1"/>
    <col min="3075" max="3075" width="9.28515625" style="25" customWidth="1"/>
    <col min="3076" max="3076" width="9.7109375" style="25" customWidth="1"/>
    <col min="3077" max="3323" width="9.140625" style="25"/>
    <col min="3324" max="3324" width="62.5703125" style="25" customWidth="1"/>
    <col min="3325" max="3325" width="9.7109375" style="25" customWidth="1"/>
    <col min="3326" max="3327" width="13.5703125" style="25" customWidth="1"/>
    <col min="3328" max="3328" width="9.5703125" style="25" bestFit="1" customWidth="1"/>
    <col min="3329" max="3329" width="10.28515625" style="25" customWidth="1"/>
    <col min="3330" max="3330" width="9.140625" style="25" customWidth="1"/>
    <col min="3331" max="3331" width="9.28515625" style="25" customWidth="1"/>
    <col min="3332" max="3332" width="9.7109375" style="25" customWidth="1"/>
    <col min="3333" max="3579" width="9.140625" style="25"/>
    <col min="3580" max="3580" width="62.5703125" style="25" customWidth="1"/>
    <col min="3581" max="3581" width="9.7109375" style="25" customWidth="1"/>
    <col min="3582" max="3583" width="13.5703125" style="25" customWidth="1"/>
    <col min="3584" max="3584" width="9.5703125" style="25" bestFit="1" customWidth="1"/>
    <col min="3585" max="3585" width="10.28515625" style="25" customWidth="1"/>
    <col min="3586" max="3586" width="9.140625" style="25" customWidth="1"/>
    <col min="3587" max="3587" width="9.28515625" style="25" customWidth="1"/>
    <col min="3588" max="3588" width="9.7109375" style="25" customWidth="1"/>
    <col min="3589" max="3835" width="9.140625" style="25"/>
    <col min="3836" max="3836" width="62.5703125" style="25" customWidth="1"/>
    <col min="3837" max="3837" width="9.7109375" style="25" customWidth="1"/>
    <col min="3838" max="3839" width="13.5703125" style="25" customWidth="1"/>
    <col min="3840" max="3840" width="9.5703125" style="25" bestFit="1" customWidth="1"/>
    <col min="3841" max="3841" width="10.28515625" style="25" customWidth="1"/>
    <col min="3842" max="3842" width="9.140625" style="25" customWidth="1"/>
    <col min="3843" max="3843" width="9.28515625" style="25" customWidth="1"/>
    <col min="3844" max="3844" width="9.7109375" style="25" customWidth="1"/>
    <col min="3845" max="4091" width="9.140625" style="25"/>
    <col min="4092" max="4092" width="62.5703125" style="25" customWidth="1"/>
    <col min="4093" max="4093" width="9.7109375" style="25" customWidth="1"/>
    <col min="4094" max="4095" width="13.5703125" style="25" customWidth="1"/>
    <col min="4096" max="4096" width="9.5703125" style="25" bestFit="1" customWidth="1"/>
    <col min="4097" max="4097" width="10.28515625" style="25" customWidth="1"/>
    <col min="4098" max="4098" width="9.140625" style="25" customWidth="1"/>
    <col min="4099" max="4099" width="9.28515625" style="25" customWidth="1"/>
    <col min="4100" max="4100" width="9.7109375" style="25" customWidth="1"/>
    <col min="4101" max="4347" width="9.140625" style="25"/>
    <col min="4348" max="4348" width="62.5703125" style="25" customWidth="1"/>
    <col min="4349" max="4349" width="9.7109375" style="25" customWidth="1"/>
    <col min="4350" max="4351" width="13.5703125" style="25" customWidth="1"/>
    <col min="4352" max="4352" width="9.5703125" style="25" bestFit="1" customWidth="1"/>
    <col min="4353" max="4353" width="10.28515625" style="25" customWidth="1"/>
    <col min="4354" max="4354" width="9.140625" style="25" customWidth="1"/>
    <col min="4355" max="4355" width="9.28515625" style="25" customWidth="1"/>
    <col min="4356" max="4356" width="9.7109375" style="25" customWidth="1"/>
    <col min="4357" max="4603" width="9.140625" style="25"/>
    <col min="4604" max="4604" width="62.5703125" style="25" customWidth="1"/>
    <col min="4605" max="4605" width="9.7109375" style="25" customWidth="1"/>
    <col min="4606" max="4607" width="13.5703125" style="25" customWidth="1"/>
    <col min="4608" max="4608" width="9.5703125" style="25" bestFit="1" customWidth="1"/>
    <col min="4609" max="4609" width="10.28515625" style="25" customWidth="1"/>
    <col min="4610" max="4610" width="9.140625" style="25" customWidth="1"/>
    <col min="4611" max="4611" width="9.28515625" style="25" customWidth="1"/>
    <col min="4612" max="4612" width="9.7109375" style="25" customWidth="1"/>
    <col min="4613" max="4859" width="9.140625" style="25"/>
    <col min="4860" max="4860" width="62.5703125" style="25" customWidth="1"/>
    <col min="4861" max="4861" width="9.7109375" style="25" customWidth="1"/>
    <col min="4862" max="4863" width="13.5703125" style="25" customWidth="1"/>
    <col min="4864" max="4864" width="9.5703125" style="25" bestFit="1" customWidth="1"/>
    <col min="4865" max="4865" width="10.28515625" style="25" customWidth="1"/>
    <col min="4866" max="4866" width="9.140625" style="25" customWidth="1"/>
    <col min="4867" max="4867" width="9.28515625" style="25" customWidth="1"/>
    <col min="4868" max="4868" width="9.7109375" style="25" customWidth="1"/>
    <col min="4869" max="5115" width="9.140625" style="25"/>
    <col min="5116" max="5116" width="62.5703125" style="25" customWidth="1"/>
    <col min="5117" max="5117" width="9.7109375" style="25" customWidth="1"/>
    <col min="5118" max="5119" width="13.5703125" style="25" customWidth="1"/>
    <col min="5120" max="5120" width="9.5703125" style="25" bestFit="1" customWidth="1"/>
    <col min="5121" max="5121" width="10.28515625" style="25" customWidth="1"/>
    <col min="5122" max="5122" width="9.140625" style="25" customWidth="1"/>
    <col min="5123" max="5123" width="9.28515625" style="25" customWidth="1"/>
    <col min="5124" max="5124" width="9.7109375" style="25" customWidth="1"/>
    <col min="5125" max="5371" width="9.140625" style="25"/>
    <col min="5372" max="5372" width="62.5703125" style="25" customWidth="1"/>
    <col min="5373" max="5373" width="9.7109375" style="25" customWidth="1"/>
    <col min="5374" max="5375" width="13.5703125" style="25" customWidth="1"/>
    <col min="5376" max="5376" width="9.5703125" style="25" bestFit="1" customWidth="1"/>
    <col min="5377" max="5377" width="10.28515625" style="25" customWidth="1"/>
    <col min="5378" max="5378" width="9.140625" style="25" customWidth="1"/>
    <col min="5379" max="5379" width="9.28515625" style="25" customWidth="1"/>
    <col min="5380" max="5380" width="9.7109375" style="25" customWidth="1"/>
    <col min="5381" max="5627" width="9.140625" style="25"/>
    <col min="5628" max="5628" width="62.5703125" style="25" customWidth="1"/>
    <col min="5629" max="5629" width="9.7109375" style="25" customWidth="1"/>
    <col min="5630" max="5631" width="13.5703125" style="25" customWidth="1"/>
    <col min="5632" max="5632" width="9.5703125" style="25" bestFit="1" customWidth="1"/>
    <col min="5633" max="5633" width="10.28515625" style="25" customWidth="1"/>
    <col min="5634" max="5634" width="9.140625" style="25" customWidth="1"/>
    <col min="5635" max="5635" width="9.28515625" style="25" customWidth="1"/>
    <col min="5636" max="5636" width="9.7109375" style="25" customWidth="1"/>
    <col min="5637" max="5883" width="9.140625" style="25"/>
    <col min="5884" max="5884" width="62.5703125" style="25" customWidth="1"/>
    <col min="5885" max="5885" width="9.7109375" style="25" customWidth="1"/>
    <col min="5886" max="5887" width="13.5703125" style="25" customWidth="1"/>
    <col min="5888" max="5888" width="9.5703125" style="25" bestFit="1" customWidth="1"/>
    <col min="5889" max="5889" width="10.28515625" style="25" customWidth="1"/>
    <col min="5890" max="5890" width="9.140625" style="25" customWidth="1"/>
    <col min="5891" max="5891" width="9.28515625" style="25" customWidth="1"/>
    <col min="5892" max="5892" width="9.7109375" style="25" customWidth="1"/>
    <col min="5893" max="6139" width="9.140625" style="25"/>
    <col min="6140" max="6140" width="62.5703125" style="25" customWidth="1"/>
    <col min="6141" max="6141" width="9.7109375" style="25" customWidth="1"/>
    <col min="6142" max="6143" width="13.5703125" style="25" customWidth="1"/>
    <col min="6144" max="6144" width="9.5703125" style="25" bestFit="1" customWidth="1"/>
    <col min="6145" max="6145" width="10.28515625" style="25" customWidth="1"/>
    <col min="6146" max="6146" width="9.140625" style="25" customWidth="1"/>
    <col min="6147" max="6147" width="9.28515625" style="25" customWidth="1"/>
    <col min="6148" max="6148" width="9.7109375" style="25" customWidth="1"/>
    <col min="6149" max="6395" width="9.140625" style="25"/>
    <col min="6396" max="6396" width="62.5703125" style="25" customWidth="1"/>
    <col min="6397" max="6397" width="9.7109375" style="25" customWidth="1"/>
    <col min="6398" max="6399" width="13.5703125" style="25" customWidth="1"/>
    <col min="6400" max="6400" width="9.5703125" style="25" bestFit="1" customWidth="1"/>
    <col min="6401" max="6401" width="10.28515625" style="25" customWidth="1"/>
    <col min="6402" max="6402" width="9.140625" style="25" customWidth="1"/>
    <col min="6403" max="6403" width="9.28515625" style="25" customWidth="1"/>
    <col min="6404" max="6404" width="9.7109375" style="25" customWidth="1"/>
    <col min="6405" max="6651" width="9.140625" style="25"/>
    <col min="6652" max="6652" width="62.5703125" style="25" customWidth="1"/>
    <col min="6653" max="6653" width="9.7109375" style="25" customWidth="1"/>
    <col min="6654" max="6655" width="13.5703125" style="25" customWidth="1"/>
    <col min="6656" max="6656" width="9.5703125" style="25" bestFit="1" customWidth="1"/>
    <col min="6657" max="6657" width="10.28515625" style="25" customWidth="1"/>
    <col min="6658" max="6658" width="9.140625" style="25" customWidth="1"/>
    <col min="6659" max="6659" width="9.28515625" style="25" customWidth="1"/>
    <col min="6660" max="6660" width="9.7109375" style="25" customWidth="1"/>
    <col min="6661" max="6907" width="9.140625" style="25"/>
    <col min="6908" max="6908" width="62.5703125" style="25" customWidth="1"/>
    <col min="6909" max="6909" width="9.7109375" style="25" customWidth="1"/>
    <col min="6910" max="6911" width="13.5703125" style="25" customWidth="1"/>
    <col min="6912" max="6912" width="9.5703125" style="25" bestFit="1" customWidth="1"/>
    <col min="6913" max="6913" width="10.28515625" style="25" customWidth="1"/>
    <col min="6914" max="6914" width="9.140625" style="25" customWidth="1"/>
    <col min="6915" max="6915" width="9.28515625" style="25" customWidth="1"/>
    <col min="6916" max="6916" width="9.7109375" style="25" customWidth="1"/>
    <col min="6917" max="7163" width="9.140625" style="25"/>
    <col min="7164" max="7164" width="62.5703125" style="25" customWidth="1"/>
    <col min="7165" max="7165" width="9.7109375" style="25" customWidth="1"/>
    <col min="7166" max="7167" width="13.5703125" style="25" customWidth="1"/>
    <col min="7168" max="7168" width="9.5703125" style="25" bestFit="1" customWidth="1"/>
    <col min="7169" max="7169" width="10.28515625" style="25" customWidth="1"/>
    <col min="7170" max="7170" width="9.140625" style="25" customWidth="1"/>
    <col min="7171" max="7171" width="9.28515625" style="25" customWidth="1"/>
    <col min="7172" max="7172" width="9.7109375" style="25" customWidth="1"/>
    <col min="7173" max="7419" width="9.140625" style="25"/>
    <col min="7420" max="7420" width="62.5703125" style="25" customWidth="1"/>
    <col min="7421" max="7421" width="9.7109375" style="25" customWidth="1"/>
    <col min="7422" max="7423" width="13.5703125" style="25" customWidth="1"/>
    <col min="7424" max="7424" width="9.5703125" style="25" bestFit="1" customWidth="1"/>
    <col min="7425" max="7425" width="10.28515625" style="25" customWidth="1"/>
    <col min="7426" max="7426" width="9.140625" style="25" customWidth="1"/>
    <col min="7427" max="7427" width="9.28515625" style="25" customWidth="1"/>
    <col min="7428" max="7428" width="9.7109375" style="25" customWidth="1"/>
    <col min="7429" max="7675" width="9.140625" style="25"/>
    <col min="7676" max="7676" width="62.5703125" style="25" customWidth="1"/>
    <col min="7677" max="7677" width="9.7109375" style="25" customWidth="1"/>
    <col min="7678" max="7679" width="13.5703125" style="25" customWidth="1"/>
    <col min="7680" max="7680" width="9.5703125" style="25" bestFit="1" customWidth="1"/>
    <col min="7681" max="7681" width="10.28515625" style="25" customWidth="1"/>
    <col min="7682" max="7682" width="9.140625" style="25" customWidth="1"/>
    <col min="7683" max="7683" width="9.28515625" style="25" customWidth="1"/>
    <col min="7684" max="7684" width="9.7109375" style="25" customWidth="1"/>
    <col min="7685" max="7931" width="9.140625" style="25"/>
    <col min="7932" max="7932" width="62.5703125" style="25" customWidth="1"/>
    <col min="7933" max="7933" width="9.7109375" style="25" customWidth="1"/>
    <col min="7934" max="7935" width="13.5703125" style="25" customWidth="1"/>
    <col min="7936" max="7936" width="9.5703125" style="25" bestFit="1" customWidth="1"/>
    <col min="7937" max="7937" width="10.28515625" style="25" customWidth="1"/>
    <col min="7938" max="7938" width="9.140625" style="25" customWidth="1"/>
    <col min="7939" max="7939" width="9.28515625" style="25" customWidth="1"/>
    <col min="7940" max="7940" width="9.7109375" style="25" customWidth="1"/>
    <col min="7941" max="8187" width="9.140625" style="25"/>
    <col min="8188" max="8188" width="62.5703125" style="25" customWidth="1"/>
    <col min="8189" max="8189" width="9.7109375" style="25" customWidth="1"/>
    <col min="8190" max="8191" width="13.5703125" style="25" customWidth="1"/>
    <col min="8192" max="8192" width="9.5703125" style="25" bestFit="1" customWidth="1"/>
    <col min="8193" max="8193" width="10.28515625" style="25" customWidth="1"/>
    <col min="8194" max="8194" width="9.140625" style="25" customWidth="1"/>
    <col min="8195" max="8195" width="9.28515625" style="25" customWidth="1"/>
    <col min="8196" max="8196" width="9.7109375" style="25" customWidth="1"/>
    <col min="8197" max="8443" width="9.140625" style="25"/>
    <col min="8444" max="8444" width="62.5703125" style="25" customWidth="1"/>
    <col min="8445" max="8445" width="9.7109375" style="25" customWidth="1"/>
    <col min="8446" max="8447" width="13.5703125" style="25" customWidth="1"/>
    <col min="8448" max="8448" width="9.5703125" style="25" bestFit="1" customWidth="1"/>
    <col min="8449" max="8449" width="10.28515625" style="25" customWidth="1"/>
    <col min="8450" max="8450" width="9.140625" style="25" customWidth="1"/>
    <col min="8451" max="8451" width="9.28515625" style="25" customWidth="1"/>
    <col min="8452" max="8452" width="9.7109375" style="25" customWidth="1"/>
    <col min="8453" max="8699" width="9.140625" style="25"/>
    <col min="8700" max="8700" width="62.5703125" style="25" customWidth="1"/>
    <col min="8701" max="8701" width="9.7109375" style="25" customWidth="1"/>
    <col min="8702" max="8703" width="13.5703125" style="25" customWidth="1"/>
    <col min="8704" max="8704" width="9.5703125" style="25" bestFit="1" customWidth="1"/>
    <col min="8705" max="8705" width="10.28515625" style="25" customWidth="1"/>
    <col min="8706" max="8706" width="9.140625" style="25" customWidth="1"/>
    <col min="8707" max="8707" width="9.28515625" style="25" customWidth="1"/>
    <col min="8708" max="8708" width="9.7109375" style="25" customWidth="1"/>
    <col min="8709" max="8955" width="9.140625" style="25"/>
    <col min="8956" max="8956" width="62.5703125" style="25" customWidth="1"/>
    <col min="8957" max="8957" width="9.7109375" style="25" customWidth="1"/>
    <col min="8958" max="8959" width="13.5703125" style="25" customWidth="1"/>
    <col min="8960" max="8960" width="9.5703125" style="25" bestFit="1" customWidth="1"/>
    <col min="8961" max="8961" width="10.28515625" style="25" customWidth="1"/>
    <col min="8962" max="8962" width="9.140625" style="25" customWidth="1"/>
    <col min="8963" max="8963" width="9.28515625" style="25" customWidth="1"/>
    <col min="8964" max="8964" width="9.7109375" style="25" customWidth="1"/>
    <col min="8965" max="9211" width="9.140625" style="25"/>
    <col min="9212" max="9212" width="62.5703125" style="25" customWidth="1"/>
    <col min="9213" max="9213" width="9.7109375" style="25" customWidth="1"/>
    <col min="9214" max="9215" width="13.5703125" style="25" customWidth="1"/>
    <col min="9216" max="9216" width="9.5703125" style="25" bestFit="1" customWidth="1"/>
    <col min="9217" max="9217" width="10.28515625" style="25" customWidth="1"/>
    <col min="9218" max="9218" width="9.140625" style="25" customWidth="1"/>
    <col min="9219" max="9219" width="9.28515625" style="25" customWidth="1"/>
    <col min="9220" max="9220" width="9.7109375" style="25" customWidth="1"/>
    <col min="9221" max="9467" width="9.140625" style="25"/>
    <col min="9468" max="9468" width="62.5703125" style="25" customWidth="1"/>
    <col min="9469" max="9469" width="9.7109375" style="25" customWidth="1"/>
    <col min="9470" max="9471" width="13.5703125" style="25" customWidth="1"/>
    <col min="9472" max="9472" width="9.5703125" style="25" bestFit="1" customWidth="1"/>
    <col min="9473" max="9473" width="10.28515625" style="25" customWidth="1"/>
    <col min="9474" max="9474" width="9.140625" style="25" customWidth="1"/>
    <col min="9475" max="9475" width="9.28515625" style="25" customWidth="1"/>
    <col min="9476" max="9476" width="9.7109375" style="25" customWidth="1"/>
    <col min="9477" max="9723" width="9.140625" style="25"/>
    <col min="9724" max="9724" width="62.5703125" style="25" customWidth="1"/>
    <col min="9725" max="9725" width="9.7109375" style="25" customWidth="1"/>
    <col min="9726" max="9727" width="13.5703125" style="25" customWidth="1"/>
    <col min="9728" max="9728" width="9.5703125" style="25" bestFit="1" customWidth="1"/>
    <col min="9729" max="9729" width="10.28515625" style="25" customWidth="1"/>
    <col min="9730" max="9730" width="9.140625" style="25" customWidth="1"/>
    <col min="9731" max="9731" width="9.28515625" style="25" customWidth="1"/>
    <col min="9732" max="9732" width="9.7109375" style="25" customWidth="1"/>
    <col min="9733" max="9979" width="9.140625" style="25"/>
    <col min="9980" max="9980" width="62.5703125" style="25" customWidth="1"/>
    <col min="9981" max="9981" width="9.7109375" style="25" customWidth="1"/>
    <col min="9982" max="9983" width="13.5703125" style="25" customWidth="1"/>
    <col min="9984" max="9984" width="9.5703125" style="25" bestFit="1" customWidth="1"/>
    <col min="9985" max="9985" width="10.28515625" style="25" customWidth="1"/>
    <col min="9986" max="9986" width="9.140625" style="25" customWidth="1"/>
    <col min="9987" max="9987" width="9.28515625" style="25" customWidth="1"/>
    <col min="9988" max="9988" width="9.7109375" style="25" customWidth="1"/>
    <col min="9989" max="10235" width="9.140625" style="25"/>
    <col min="10236" max="10236" width="62.5703125" style="25" customWidth="1"/>
    <col min="10237" max="10237" width="9.7109375" style="25" customWidth="1"/>
    <col min="10238" max="10239" width="13.5703125" style="25" customWidth="1"/>
    <col min="10240" max="10240" width="9.5703125" style="25" bestFit="1" customWidth="1"/>
    <col min="10241" max="10241" width="10.28515625" style="25" customWidth="1"/>
    <col min="10242" max="10242" width="9.140625" style="25" customWidth="1"/>
    <col min="10243" max="10243" width="9.28515625" style="25" customWidth="1"/>
    <col min="10244" max="10244" width="9.7109375" style="25" customWidth="1"/>
    <col min="10245" max="10491" width="9.140625" style="25"/>
    <col min="10492" max="10492" width="62.5703125" style="25" customWidth="1"/>
    <col min="10493" max="10493" width="9.7109375" style="25" customWidth="1"/>
    <col min="10494" max="10495" width="13.5703125" style="25" customWidth="1"/>
    <col min="10496" max="10496" width="9.5703125" style="25" bestFit="1" customWidth="1"/>
    <col min="10497" max="10497" width="10.28515625" style="25" customWidth="1"/>
    <col min="10498" max="10498" width="9.140625" style="25" customWidth="1"/>
    <col min="10499" max="10499" width="9.28515625" style="25" customWidth="1"/>
    <col min="10500" max="10500" width="9.7109375" style="25" customWidth="1"/>
    <col min="10501" max="10747" width="9.140625" style="25"/>
    <col min="10748" max="10748" width="62.5703125" style="25" customWidth="1"/>
    <col min="10749" max="10749" width="9.7109375" style="25" customWidth="1"/>
    <col min="10750" max="10751" width="13.5703125" style="25" customWidth="1"/>
    <col min="10752" max="10752" width="9.5703125" style="25" bestFit="1" customWidth="1"/>
    <col min="10753" max="10753" width="10.28515625" style="25" customWidth="1"/>
    <col min="10754" max="10754" width="9.140625" style="25" customWidth="1"/>
    <col min="10755" max="10755" width="9.28515625" style="25" customWidth="1"/>
    <col min="10756" max="10756" width="9.7109375" style="25" customWidth="1"/>
    <col min="10757" max="11003" width="9.140625" style="25"/>
    <col min="11004" max="11004" width="62.5703125" style="25" customWidth="1"/>
    <col min="11005" max="11005" width="9.7109375" style="25" customWidth="1"/>
    <col min="11006" max="11007" width="13.5703125" style="25" customWidth="1"/>
    <col min="11008" max="11008" width="9.5703125" style="25" bestFit="1" customWidth="1"/>
    <col min="11009" max="11009" width="10.28515625" style="25" customWidth="1"/>
    <col min="11010" max="11010" width="9.140625" style="25" customWidth="1"/>
    <col min="11011" max="11011" width="9.28515625" style="25" customWidth="1"/>
    <col min="11012" max="11012" width="9.7109375" style="25" customWidth="1"/>
    <col min="11013" max="11259" width="9.140625" style="25"/>
    <col min="11260" max="11260" width="62.5703125" style="25" customWidth="1"/>
    <col min="11261" max="11261" width="9.7109375" style="25" customWidth="1"/>
    <col min="11262" max="11263" width="13.5703125" style="25" customWidth="1"/>
    <col min="11264" max="11264" width="9.5703125" style="25" bestFit="1" customWidth="1"/>
    <col min="11265" max="11265" width="10.28515625" style="25" customWidth="1"/>
    <col min="11266" max="11266" width="9.140625" style="25" customWidth="1"/>
    <col min="11267" max="11267" width="9.28515625" style="25" customWidth="1"/>
    <col min="11268" max="11268" width="9.7109375" style="25" customWidth="1"/>
    <col min="11269" max="11515" width="9.140625" style="25"/>
    <col min="11516" max="11516" width="62.5703125" style="25" customWidth="1"/>
    <col min="11517" max="11517" width="9.7109375" style="25" customWidth="1"/>
    <col min="11518" max="11519" width="13.5703125" style="25" customWidth="1"/>
    <col min="11520" max="11520" width="9.5703125" style="25" bestFit="1" customWidth="1"/>
    <col min="11521" max="11521" width="10.28515625" style="25" customWidth="1"/>
    <col min="11522" max="11522" width="9.140625" style="25" customWidth="1"/>
    <col min="11523" max="11523" width="9.28515625" style="25" customWidth="1"/>
    <col min="11524" max="11524" width="9.7109375" style="25" customWidth="1"/>
    <col min="11525" max="11771" width="9.140625" style="25"/>
    <col min="11772" max="11772" width="62.5703125" style="25" customWidth="1"/>
    <col min="11773" max="11773" width="9.7109375" style="25" customWidth="1"/>
    <col min="11774" max="11775" width="13.5703125" style="25" customWidth="1"/>
    <col min="11776" max="11776" width="9.5703125" style="25" bestFit="1" customWidth="1"/>
    <col min="11777" max="11777" width="10.28515625" style="25" customWidth="1"/>
    <col min="11778" max="11778" width="9.140625" style="25" customWidth="1"/>
    <col min="11779" max="11779" width="9.28515625" style="25" customWidth="1"/>
    <col min="11780" max="11780" width="9.7109375" style="25" customWidth="1"/>
    <col min="11781" max="12027" width="9.140625" style="25"/>
    <col min="12028" max="12028" width="62.5703125" style="25" customWidth="1"/>
    <col min="12029" max="12029" width="9.7109375" style="25" customWidth="1"/>
    <col min="12030" max="12031" width="13.5703125" style="25" customWidth="1"/>
    <col min="12032" max="12032" width="9.5703125" style="25" bestFit="1" customWidth="1"/>
    <col min="12033" max="12033" width="10.28515625" style="25" customWidth="1"/>
    <col min="12034" max="12034" width="9.140625" style="25" customWidth="1"/>
    <col min="12035" max="12035" width="9.28515625" style="25" customWidth="1"/>
    <col min="12036" max="12036" width="9.7109375" style="25" customWidth="1"/>
    <col min="12037" max="12283" width="9.140625" style="25"/>
    <col min="12284" max="12284" width="62.5703125" style="25" customWidth="1"/>
    <col min="12285" max="12285" width="9.7109375" style="25" customWidth="1"/>
    <col min="12286" max="12287" width="13.5703125" style="25" customWidth="1"/>
    <col min="12288" max="12288" width="9.5703125" style="25" bestFit="1" customWidth="1"/>
    <col min="12289" max="12289" width="10.28515625" style="25" customWidth="1"/>
    <col min="12290" max="12290" width="9.140625" style="25" customWidth="1"/>
    <col min="12291" max="12291" width="9.28515625" style="25" customWidth="1"/>
    <col min="12292" max="12292" width="9.7109375" style="25" customWidth="1"/>
    <col min="12293" max="12539" width="9.140625" style="25"/>
    <col min="12540" max="12540" width="62.5703125" style="25" customWidth="1"/>
    <col min="12541" max="12541" width="9.7109375" style="25" customWidth="1"/>
    <col min="12542" max="12543" width="13.5703125" style="25" customWidth="1"/>
    <col min="12544" max="12544" width="9.5703125" style="25" bestFit="1" customWidth="1"/>
    <col min="12545" max="12545" width="10.28515625" style="25" customWidth="1"/>
    <col min="12546" max="12546" width="9.140625" style="25" customWidth="1"/>
    <col min="12547" max="12547" width="9.28515625" style="25" customWidth="1"/>
    <col min="12548" max="12548" width="9.7109375" style="25" customWidth="1"/>
    <col min="12549" max="12795" width="9.140625" style="25"/>
    <col min="12796" max="12796" width="62.5703125" style="25" customWidth="1"/>
    <col min="12797" max="12797" width="9.7109375" style="25" customWidth="1"/>
    <col min="12798" max="12799" width="13.5703125" style="25" customWidth="1"/>
    <col min="12800" max="12800" width="9.5703125" style="25" bestFit="1" customWidth="1"/>
    <col min="12801" max="12801" width="10.28515625" style="25" customWidth="1"/>
    <col min="12802" max="12802" width="9.140625" style="25" customWidth="1"/>
    <col min="12803" max="12803" width="9.28515625" style="25" customWidth="1"/>
    <col min="12804" max="12804" width="9.7109375" style="25" customWidth="1"/>
    <col min="12805" max="13051" width="9.140625" style="25"/>
    <col min="13052" max="13052" width="62.5703125" style="25" customWidth="1"/>
    <col min="13053" max="13053" width="9.7109375" style="25" customWidth="1"/>
    <col min="13054" max="13055" width="13.5703125" style="25" customWidth="1"/>
    <col min="13056" max="13056" width="9.5703125" style="25" bestFit="1" customWidth="1"/>
    <col min="13057" max="13057" width="10.28515625" style="25" customWidth="1"/>
    <col min="13058" max="13058" width="9.140625" style="25" customWidth="1"/>
    <col min="13059" max="13059" width="9.28515625" style="25" customWidth="1"/>
    <col min="13060" max="13060" width="9.7109375" style="25" customWidth="1"/>
    <col min="13061" max="13307" width="9.140625" style="25"/>
    <col min="13308" max="13308" width="62.5703125" style="25" customWidth="1"/>
    <col min="13309" max="13309" width="9.7109375" style="25" customWidth="1"/>
    <col min="13310" max="13311" width="13.5703125" style="25" customWidth="1"/>
    <col min="13312" max="13312" width="9.5703125" style="25" bestFit="1" customWidth="1"/>
    <col min="13313" max="13313" width="10.28515625" style="25" customWidth="1"/>
    <col min="13314" max="13314" width="9.140625" style="25" customWidth="1"/>
    <col min="13315" max="13315" width="9.28515625" style="25" customWidth="1"/>
    <col min="13316" max="13316" width="9.7109375" style="25" customWidth="1"/>
    <col min="13317" max="13563" width="9.140625" style="25"/>
    <col min="13564" max="13564" width="62.5703125" style="25" customWidth="1"/>
    <col min="13565" max="13565" width="9.7109375" style="25" customWidth="1"/>
    <col min="13566" max="13567" width="13.5703125" style="25" customWidth="1"/>
    <col min="13568" max="13568" width="9.5703125" style="25" bestFit="1" customWidth="1"/>
    <col min="13569" max="13569" width="10.28515625" style="25" customWidth="1"/>
    <col min="13570" max="13570" width="9.140625" style="25" customWidth="1"/>
    <col min="13571" max="13571" width="9.28515625" style="25" customWidth="1"/>
    <col min="13572" max="13572" width="9.7109375" style="25" customWidth="1"/>
    <col min="13573" max="13819" width="9.140625" style="25"/>
    <col min="13820" max="13820" width="62.5703125" style="25" customWidth="1"/>
    <col min="13821" max="13821" width="9.7109375" style="25" customWidth="1"/>
    <col min="13822" max="13823" width="13.5703125" style="25" customWidth="1"/>
    <col min="13824" max="13824" width="9.5703125" style="25" bestFit="1" customWidth="1"/>
    <col min="13825" max="13825" width="10.28515625" style="25" customWidth="1"/>
    <col min="13826" max="13826" width="9.140625" style="25" customWidth="1"/>
    <col min="13827" max="13827" width="9.28515625" style="25" customWidth="1"/>
    <col min="13828" max="13828" width="9.7109375" style="25" customWidth="1"/>
    <col min="13829" max="14075" width="9.140625" style="25"/>
    <col min="14076" max="14076" width="62.5703125" style="25" customWidth="1"/>
    <col min="14077" max="14077" width="9.7109375" style="25" customWidth="1"/>
    <col min="14078" max="14079" width="13.5703125" style="25" customWidth="1"/>
    <col min="14080" max="14080" width="9.5703125" style="25" bestFit="1" customWidth="1"/>
    <col min="14081" max="14081" width="10.28515625" style="25" customWidth="1"/>
    <col min="14082" max="14082" width="9.140625" style="25" customWidth="1"/>
    <col min="14083" max="14083" width="9.28515625" style="25" customWidth="1"/>
    <col min="14084" max="14084" width="9.7109375" style="25" customWidth="1"/>
    <col min="14085" max="14331" width="9.140625" style="25"/>
    <col min="14332" max="14332" width="62.5703125" style="25" customWidth="1"/>
    <col min="14333" max="14333" width="9.7109375" style="25" customWidth="1"/>
    <col min="14334" max="14335" width="13.5703125" style="25" customWidth="1"/>
    <col min="14336" max="14336" width="9.5703125" style="25" bestFit="1" customWidth="1"/>
    <col min="14337" max="14337" width="10.28515625" style="25" customWidth="1"/>
    <col min="14338" max="14338" width="9.140625" style="25" customWidth="1"/>
    <col min="14339" max="14339" width="9.28515625" style="25" customWidth="1"/>
    <col min="14340" max="14340" width="9.7109375" style="25" customWidth="1"/>
    <col min="14341" max="14587" width="9.140625" style="25"/>
    <col min="14588" max="14588" width="62.5703125" style="25" customWidth="1"/>
    <col min="14589" max="14589" width="9.7109375" style="25" customWidth="1"/>
    <col min="14590" max="14591" width="13.5703125" style="25" customWidth="1"/>
    <col min="14592" max="14592" width="9.5703125" style="25" bestFit="1" customWidth="1"/>
    <col min="14593" max="14593" width="10.28515625" style="25" customWidth="1"/>
    <col min="14594" max="14594" width="9.140625" style="25" customWidth="1"/>
    <col min="14595" max="14595" width="9.28515625" style="25" customWidth="1"/>
    <col min="14596" max="14596" width="9.7109375" style="25" customWidth="1"/>
    <col min="14597" max="14843" width="9.140625" style="25"/>
    <col min="14844" max="14844" width="62.5703125" style="25" customWidth="1"/>
    <col min="14845" max="14845" width="9.7109375" style="25" customWidth="1"/>
    <col min="14846" max="14847" width="13.5703125" style="25" customWidth="1"/>
    <col min="14848" max="14848" width="9.5703125" style="25" bestFit="1" customWidth="1"/>
    <col min="14849" max="14849" width="10.28515625" style="25" customWidth="1"/>
    <col min="14850" max="14850" width="9.140625" style="25" customWidth="1"/>
    <col min="14851" max="14851" width="9.28515625" style="25" customWidth="1"/>
    <col min="14852" max="14852" width="9.7109375" style="25" customWidth="1"/>
    <col min="14853" max="15099" width="9.140625" style="25"/>
    <col min="15100" max="15100" width="62.5703125" style="25" customWidth="1"/>
    <col min="15101" max="15101" width="9.7109375" style="25" customWidth="1"/>
    <col min="15102" max="15103" width="13.5703125" style="25" customWidth="1"/>
    <col min="15104" max="15104" width="9.5703125" style="25" bestFit="1" customWidth="1"/>
    <col min="15105" max="15105" width="10.28515625" style="25" customWidth="1"/>
    <col min="15106" max="15106" width="9.140625" style="25" customWidth="1"/>
    <col min="15107" max="15107" width="9.28515625" style="25" customWidth="1"/>
    <col min="15108" max="15108" width="9.7109375" style="25" customWidth="1"/>
    <col min="15109" max="15355" width="9.140625" style="25"/>
    <col min="15356" max="15356" width="62.5703125" style="25" customWidth="1"/>
    <col min="15357" max="15357" width="9.7109375" style="25" customWidth="1"/>
    <col min="15358" max="15359" width="13.5703125" style="25" customWidth="1"/>
    <col min="15360" max="15360" width="9.5703125" style="25" bestFit="1" customWidth="1"/>
    <col min="15361" max="15361" width="10.28515625" style="25" customWidth="1"/>
    <col min="15362" max="15362" width="9.140625" style="25" customWidth="1"/>
    <col min="15363" max="15363" width="9.28515625" style="25" customWidth="1"/>
    <col min="15364" max="15364" width="9.7109375" style="25" customWidth="1"/>
    <col min="15365" max="15611" width="9.140625" style="25"/>
    <col min="15612" max="15612" width="62.5703125" style="25" customWidth="1"/>
    <col min="15613" max="15613" width="9.7109375" style="25" customWidth="1"/>
    <col min="15614" max="15615" width="13.5703125" style="25" customWidth="1"/>
    <col min="15616" max="15616" width="9.5703125" style="25" bestFit="1" customWidth="1"/>
    <col min="15617" max="15617" width="10.28515625" style="25" customWidth="1"/>
    <col min="15618" max="15618" width="9.140625" style="25" customWidth="1"/>
    <col min="15619" max="15619" width="9.28515625" style="25" customWidth="1"/>
    <col min="15620" max="15620" width="9.7109375" style="25" customWidth="1"/>
    <col min="15621" max="15867" width="9.140625" style="25"/>
    <col min="15868" max="15868" width="62.5703125" style="25" customWidth="1"/>
    <col min="15869" max="15869" width="9.7109375" style="25" customWidth="1"/>
    <col min="15870" max="15871" width="13.5703125" style="25" customWidth="1"/>
    <col min="15872" max="15872" width="9.5703125" style="25" bestFit="1" customWidth="1"/>
    <col min="15873" max="15873" width="10.28515625" style="25" customWidth="1"/>
    <col min="15874" max="15874" width="9.140625" style="25" customWidth="1"/>
    <col min="15875" max="15875" width="9.28515625" style="25" customWidth="1"/>
    <col min="15876" max="15876" width="9.7109375" style="25" customWidth="1"/>
    <col min="15877" max="16123" width="9.140625" style="25"/>
    <col min="16124" max="16124" width="62.5703125" style="25" customWidth="1"/>
    <col min="16125" max="16125" width="9.7109375" style="25" customWidth="1"/>
    <col min="16126" max="16127" width="13.5703125" style="25" customWidth="1"/>
    <col min="16128" max="16128" width="9.5703125" style="25" bestFit="1" customWidth="1"/>
    <col min="16129" max="16129" width="10.28515625" style="25" customWidth="1"/>
    <col min="16130" max="16130" width="9.140625" style="25" customWidth="1"/>
    <col min="16131" max="16131" width="9.28515625" style="25" customWidth="1"/>
    <col min="16132" max="16132" width="9.7109375" style="25" customWidth="1"/>
    <col min="16133" max="16384" width="9.140625" style="25"/>
  </cols>
  <sheetData>
    <row r="1" spans="1:8" ht="15" x14ac:dyDescent="0.25">
      <c r="A1" s="8" t="s">
        <v>684</v>
      </c>
    </row>
    <row r="2" spans="1:8" ht="19.5" thickBot="1" x14ac:dyDescent="0.35">
      <c r="A2" s="1087" t="s">
        <v>795</v>
      </c>
      <c r="B2" s="1087"/>
      <c r="C2" s="1087"/>
    </row>
    <row r="3" spans="1:8" ht="48.75" thickBot="1" x14ac:dyDescent="0.35">
      <c r="A3" s="26" t="s">
        <v>29</v>
      </c>
      <c r="B3" s="607" t="s">
        <v>7</v>
      </c>
      <c r="C3" s="608" t="s">
        <v>397</v>
      </c>
      <c r="D3" s="104"/>
      <c r="E3" s="453"/>
    </row>
    <row r="4" spans="1:8" s="30" customFormat="1" ht="20.100000000000001" customHeight="1" x14ac:dyDescent="0.25">
      <c r="A4" s="650" t="s">
        <v>330</v>
      </c>
      <c r="B4" s="32">
        <v>5100</v>
      </c>
      <c r="C4" s="359">
        <v>85000</v>
      </c>
      <c r="D4" s="410"/>
    </row>
    <row r="5" spans="1:8" s="31" customFormat="1" ht="31.5" x14ac:dyDescent="0.25">
      <c r="A5" s="412" t="s">
        <v>677</v>
      </c>
      <c r="B5" s="451">
        <v>5200</v>
      </c>
      <c r="C5" s="359">
        <v>50000</v>
      </c>
      <c r="D5" s="410"/>
      <c r="E5" s="411"/>
    </row>
    <row r="6" spans="1:8" s="31" customFormat="1" ht="16.5" thickBot="1" x14ac:dyDescent="0.3">
      <c r="A6" s="412" t="s">
        <v>675</v>
      </c>
      <c r="B6" s="253">
        <v>5200</v>
      </c>
      <c r="C6" s="360">
        <f>13238+30000</f>
        <v>43238</v>
      </c>
      <c r="D6" s="410"/>
      <c r="E6" s="411"/>
    </row>
    <row r="7" spans="1:8" ht="16.5" thickBot="1" x14ac:dyDescent="0.3">
      <c r="A7" s="33" t="s">
        <v>30</v>
      </c>
      <c r="B7" s="20"/>
      <c r="C7" s="653">
        <f>SUM(C4:C6)</f>
        <v>178238</v>
      </c>
      <c r="D7" s="363"/>
    </row>
    <row r="8" spans="1:8" ht="15.75" x14ac:dyDescent="0.25">
      <c r="A8" s="246"/>
      <c r="B8" s="35"/>
      <c r="C8" s="34"/>
      <c r="D8" s="413"/>
    </row>
    <row r="9" spans="1:8" ht="15.75" x14ac:dyDescent="0.25">
      <c r="A9" s="43"/>
      <c r="B9" s="35"/>
      <c r="C9" s="34"/>
      <c r="D9" s="413"/>
    </row>
    <row r="10" spans="1:8" ht="19.5" thickBot="1" x14ac:dyDescent="0.35">
      <c r="A10" s="1088" t="s">
        <v>796</v>
      </c>
      <c r="B10" s="1088"/>
      <c r="C10" s="1088"/>
      <c r="D10" s="413"/>
    </row>
    <row r="11" spans="1:8" ht="48.75" thickBot="1" x14ac:dyDescent="0.35">
      <c r="A11" s="26" t="s">
        <v>29</v>
      </c>
      <c r="B11" s="607" t="s">
        <v>7</v>
      </c>
      <c r="C11" s="608" t="s">
        <v>404</v>
      </c>
      <c r="D11" s="104"/>
      <c r="E11" s="453"/>
    </row>
    <row r="12" spans="1:8" ht="31.5" x14ac:dyDescent="0.25">
      <c r="A12" s="268" t="s">
        <v>337</v>
      </c>
      <c r="B12" s="870">
        <v>2200</v>
      </c>
      <c r="C12" s="22">
        <v>179800</v>
      </c>
      <c r="D12" s="414"/>
      <c r="F12" s="655"/>
      <c r="G12" s="655"/>
      <c r="H12" s="655"/>
    </row>
    <row r="13" spans="1:8" ht="15.75" x14ac:dyDescent="0.25">
      <c r="A13" s="268" t="s">
        <v>585</v>
      </c>
      <c r="B13" s="17">
        <v>2200</v>
      </c>
      <c r="C13" s="22">
        <v>47346</v>
      </c>
      <c r="D13" s="414"/>
      <c r="F13" s="655"/>
      <c r="G13" s="655"/>
      <c r="H13" s="655"/>
    </row>
    <row r="14" spans="1:8" ht="15.75" x14ac:dyDescent="0.25">
      <c r="A14" s="29" t="s">
        <v>31</v>
      </c>
      <c r="B14" s="17">
        <v>2200</v>
      </c>
      <c r="C14" s="22">
        <v>566623</v>
      </c>
      <c r="D14" s="414"/>
    </row>
    <row r="15" spans="1:8" ht="31.5" x14ac:dyDescent="0.25">
      <c r="A15" s="29" t="s">
        <v>558</v>
      </c>
      <c r="B15" s="17">
        <v>5200</v>
      </c>
      <c r="C15" s="22">
        <v>30324</v>
      </c>
      <c r="D15" s="414"/>
    </row>
    <row r="16" spans="1:8" ht="31.5" x14ac:dyDescent="0.25">
      <c r="A16" s="29" t="s">
        <v>231</v>
      </c>
      <c r="B16" s="17">
        <v>5200</v>
      </c>
      <c r="C16" s="22">
        <v>93080</v>
      </c>
      <c r="D16" s="414"/>
    </row>
    <row r="17" spans="1:4" ht="15.75" x14ac:dyDescent="0.25">
      <c r="A17" s="29" t="s">
        <v>232</v>
      </c>
      <c r="B17" s="17">
        <v>2200</v>
      </c>
      <c r="C17" s="22">
        <v>79148</v>
      </c>
      <c r="D17" s="414"/>
    </row>
    <row r="18" spans="1:4" ht="15.75" x14ac:dyDescent="0.25">
      <c r="A18" s="29" t="s">
        <v>740</v>
      </c>
      <c r="B18" s="17">
        <v>2200</v>
      </c>
      <c r="C18" s="22">
        <v>30000</v>
      </c>
      <c r="D18" s="414"/>
    </row>
    <row r="19" spans="1:4" ht="16.5" thickBot="1" x14ac:dyDescent="0.3">
      <c r="A19" s="29" t="s">
        <v>163</v>
      </c>
      <c r="B19" s="17">
        <v>2200</v>
      </c>
      <c r="C19" s="269">
        <v>5000</v>
      </c>
      <c r="D19" s="415"/>
    </row>
    <row r="20" spans="1:4" ht="16.5" thickBot="1" x14ac:dyDescent="0.3">
      <c r="A20" s="38" t="s">
        <v>30</v>
      </c>
      <c r="B20" s="20"/>
      <c r="C20" s="39">
        <f>SUM(C12:C19)</f>
        <v>1031321</v>
      </c>
      <c r="D20" s="417"/>
    </row>
    <row r="21" spans="1:4" ht="15.75" x14ac:dyDescent="0.25">
      <c r="A21" s="246"/>
      <c r="B21" s="35"/>
      <c r="C21" s="34"/>
      <c r="D21" s="413"/>
    </row>
    <row r="22" spans="1:4" ht="15.75" hidden="1" customHeight="1" x14ac:dyDescent="0.25">
      <c r="A22" s="43"/>
      <c r="B22" s="35"/>
      <c r="C22" s="34"/>
      <c r="D22" s="413"/>
    </row>
    <row r="23" spans="1:4" ht="15.75" hidden="1" customHeight="1" x14ac:dyDescent="0.25">
      <c r="A23" s="43"/>
      <c r="B23" s="35"/>
      <c r="C23" s="34"/>
      <c r="D23" s="413"/>
    </row>
    <row r="24" spans="1:4" ht="21" hidden="1" thickBot="1" x14ac:dyDescent="0.35">
      <c r="A24" s="1089" t="s">
        <v>120</v>
      </c>
      <c r="B24" s="1089"/>
      <c r="C24" s="1089"/>
      <c r="D24" s="413"/>
    </row>
    <row r="25" spans="1:4" ht="38.25" hidden="1" thickBot="1" x14ac:dyDescent="0.35">
      <c r="A25" s="26" t="s">
        <v>29</v>
      </c>
      <c r="B25" s="27" t="s">
        <v>7</v>
      </c>
      <c r="C25" s="36" t="s">
        <v>112</v>
      </c>
      <c r="D25" s="413"/>
    </row>
    <row r="26" spans="1:4" ht="16.5" hidden="1" thickBot="1" x14ac:dyDescent="0.3">
      <c r="A26" s="47" t="s">
        <v>121</v>
      </c>
      <c r="B26" s="48">
        <v>5214</v>
      </c>
      <c r="C26" s="49"/>
      <c r="D26" s="413"/>
    </row>
    <row r="27" spans="1:4" ht="15.75" hidden="1" x14ac:dyDescent="0.25">
      <c r="A27" s="44" t="s">
        <v>130</v>
      </c>
      <c r="B27" s="45"/>
      <c r="C27" s="46">
        <v>4271</v>
      </c>
      <c r="D27" s="413"/>
    </row>
    <row r="28" spans="1:4" ht="15.75" x14ac:dyDescent="0.25">
      <c r="A28" s="43"/>
      <c r="B28" s="35"/>
      <c r="C28" s="34"/>
      <c r="D28" s="413"/>
    </row>
    <row r="29" spans="1:4" ht="18.75" x14ac:dyDescent="0.3">
      <c r="A29" s="1065" t="s">
        <v>666</v>
      </c>
      <c r="D29" s="413"/>
    </row>
    <row r="30" spans="1:4" ht="16.5" thickBot="1" x14ac:dyDescent="0.3">
      <c r="A30" s="936" t="s">
        <v>731</v>
      </c>
      <c r="D30" s="413"/>
    </row>
    <row r="31" spans="1:4" ht="29.25" thickBot="1" x14ac:dyDescent="0.25">
      <c r="A31" s="609" t="s">
        <v>42</v>
      </c>
      <c r="B31" s="610" t="s">
        <v>7</v>
      </c>
      <c r="C31" s="611" t="s">
        <v>392</v>
      </c>
      <c r="D31" s="413"/>
    </row>
    <row r="32" spans="1:4" ht="15" x14ac:dyDescent="0.25">
      <c r="A32" s="220" t="s">
        <v>671</v>
      </c>
      <c r="B32" s="216">
        <v>1100</v>
      </c>
      <c r="C32" s="21">
        <v>41517</v>
      </c>
      <c r="D32" s="413"/>
    </row>
    <row r="33" spans="1:5" ht="15" x14ac:dyDescent="0.25">
      <c r="A33" s="394" t="s">
        <v>672</v>
      </c>
      <c r="B33" s="216">
        <v>1200</v>
      </c>
      <c r="C33" s="21">
        <v>12478</v>
      </c>
      <c r="D33" s="413"/>
    </row>
    <row r="34" spans="1:5" ht="15.75" x14ac:dyDescent="0.25">
      <c r="A34" s="937" t="s">
        <v>667</v>
      </c>
      <c r="B34" s="216">
        <v>2223</v>
      </c>
      <c r="C34" s="21">
        <v>250000</v>
      </c>
      <c r="D34" s="413"/>
    </row>
    <row r="35" spans="1:5" ht="15.75" x14ac:dyDescent="0.25">
      <c r="A35" s="29" t="s">
        <v>668</v>
      </c>
      <c r="B35" s="216">
        <v>2200</v>
      </c>
      <c r="C35" s="21">
        <v>7826</v>
      </c>
      <c r="D35" s="413"/>
    </row>
    <row r="36" spans="1:5" ht="15.75" x14ac:dyDescent="0.25">
      <c r="A36" s="29" t="s">
        <v>669</v>
      </c>
      <c r="B36" s="216">
        <v>2322</v>
      </c>
      <c r="C36" s="21">
        <v>3860</v>
      </c>
      <c r="D36" s="413"/>
    </row>
    <row r="37" spans="1:5" ht="15.75" x14ac:dyDescent="0.25">
      <c r="A37" s="29" t="s">
        <v>670</v>
      </c>
      <c r="B37" s="216">
        <v>2300</v>
      </c>
      <c r="C37" s="21">
        <v>9560</v>
      </c>
      <c r="D37" s="413"/>
    </row>
    <row r="38" spans="1:5" ht="16.5" thickBot="1" x14ac:dyDescent="0.3">
      <c r="A38" s="654" t="s">
        <v>673</v>
      </c>
      <c r="B38" s="679">
        <v>5200</v>
      </c>
      <c r="C38" s="940">
        <v>11989</v>
      </c>
      <c r="D38" s="413"/>
    </row>
    <row r="39" spans="1:5" ht="16.5" thickBot="1" x14ac:dyDescent="0.3">
      <c r="A39" s="938" t="s">
        <v>32</v>
      </c>
      <c r="B39" s="939"/>
      <c r="C39" s="652">
        <f>SUM(C32:C38)</f>
        <v>337230</v>
      </c>
      <c r="D39" s="413"/>
    </row>
    <row r="40" spans="1:5" ht="15.75" x14ac:dyDescent="0.25">
      <c r="A40" s="656"/>
      <c r="B40" s="454"/>
      <c r="C40" s="657"/>
      <c r="D40" s="413"/>
    </row>
    <row r="41" spans="1:5" ht="19.5" thickBot="1" x14ac:dyDescent="0.35">
      <c r="A41" s="1088" t="s">
        <v>797</v>
      </c>
      <c r="B41" s="1088"/>
      <c r="C41" s="1088"/>
      <c r="D41" s="413"/>
    </row>
    <row r="42" spans="1:5" ht="48.75" thickBot="1" x14ac:dyDescent="0.35">
      <c r="A42" s="26" t="s">
        <v>29</v>
      </c>
      <c r="B42" s="607" t="s">
        <v>7</v>
      </c>
      <c r="C42" s="608" t="s">
        <v>397</v>
      </c>
      <c r="D42" s="104"/>
      <c r="E42" s="453"/>
    </row>
    <row r="43" spans="1:5" ht="15.75" x14ac:dyDescent="0.25">
      <c r="A43" s="40" t="s">
        <v>233</v>
      </c>
      <c r="B43" s="17">
        <v>2200</v>
      </c>
      <c r="C43" s="244">
        <v>50</v>
      </c>
      <c r="D43" s="418"/>
    </row>
    <row r="44" spans="1:5" ht="15.75" x14ac:dyDescent="0.25">
      <c r="A44" s="24" t="s">
        <v>234</v>
      </c>
      <c r="B44" s="17">
        <v>2200</v>
      </c>
      <c r="C44" s="244">
        <v>7500</v>
      </c>
      <c r="D44" s="418"/>
    </row>
    <row r="45" spans="1:5" ht="32.25" thickBot="1" x14ac:dyDescent="0.3">
      <c r="A45" s="338" t="s">
        <v>328</v>
      </c>
      <c r="B45" s="17">
        <v>2200</v>
      </c>
      <c r="C45" s="362">
        <v>7986</v>
      </c>
      <c r="D45" s="363"/>
    </row>
    <row r="46" spans="1:5" ht="16.5" thickBot="1" x14ac:dyDescent="0.3">
      <c r="A46" s="41" t="s">
        <v>30</v>
      </c>
      <c r="B46" s="20"/>
      <c r="C46" s="361">
        <f>SUM(C43:C45)</f>
        <v>15536</v>
      </c>
      <c r="D46" s="409"/>
      <c r="E46" s="363"/>
    </row>
    <row r="47" spans="1:5" ht="15.75" x14ac:dyDescent="0.25">
      <c r="A47" s="246"/>
      <c r="B47" s="35"/>
      <c r="C47" s="34"/>
    </row>
    <row r="49" spans="1:9" ht="16.5" thickBot="1" x14ac:dyDescent="0.3">
      <c r="A49" s="1064" t="s">
        <v>798</v>
      </c>
      <c r="B49" s="213"/>
      <c r="C49" s="213"/>
      <c r="D49" s="213"/>
      <c r="E49" s="213"/>
    </row>
    <row r="50" spans="1:9" ht="30" thickBot="1" x14ac:dyDescent="0.3">
      <c r="A50" s="609" t="s">
        <v>42</v>
      </c>
      <c r="B50" s="610" t="s">
        <v>7</v>
      </c>
      <c r="C50" s="611" t="s">
        <v>392</v>
      </c>
      <c r="D50" s="104"/>
      <c r="E50" s="453"/>
    </row>
    <row r="51" spans="1:9" ht="15" x14ac:dyDescent="0.25">
      <c r="A51" s="871" t="s">
        <v>235</v>
      </c>
      <c r="B51" s="216">
        <v>2300</v>
      </c>
      <c r="C51" s="21">
        <v>3500</v>
      </c>
      <c r="D51" s="363"/>
      <c r="E51" s="409"/>
      <c r="G51" s="409"/>
    </row>
    <row r="52" spans="1:9" ht="15" x14ac:dyDescent="0.25">
      <c r="A52" s="871" t="s">
        <v>418</v>
      </c>
      <c r="B52" s="216">
        <v>5200</v>
      </c>
      <c r="C52" s="21">
        <v>36300</v>
      </c>
      <c r="D52" s="363"/>
      <c r="E52" s="409"/>
      <c r="G52" s="409"/>
    </row>
    <row r="53" spans="1:9" ht="30" x14ac:dyDescent="0.25">
      <c r="A53" s="220" t="s">
        <v>394</v>
      </c>
      <c r="B53" s="216">
        <v>2200</v>
      </c>
      <c r="C53" s="21">
        <v>3200</v>
      </c>
      <c r="D53" s="363"/>
      <c r="E53" s="409"/>
    </row>
    <row r="54" spans="1:9" ht="15" x14ac:dyDescent="0.25">
      <c r="A54" s="871" t="s">
        <v>395</v>
      </c>
      <c r="B54" s="216">
        <v>2200</v>
      </c>
      <c r="C54" s="21">
        <v>3100</v>
      </c>
      <c r="D54" s="363"/>
      <c r="E54" s="409"/>
    </row>
    <row r="55" spans="1:9" ht="15" x14ac:dyDescent="0.25">
      <c r="A55" s="871" t="s">
        <v>396</v>
      </c>
      <c r="B55" s="216">
        <v>2200</v>
      </c>
      <c r="C55" s="21">
        <v>13800</v>
      </c>
      <c r="D55" s="363"/>
      <c r="E55" s="409"/>
    </row>
    <row r="56" spans="1:9" ht="15" x14ac:dyDescent="0.25">
      <c r="A56" s="872" t="s">
        <v>393</v>
      </c>
      <c r="B56" s="216">
        <v>2200</v>
      </c>
      <c r="C56" s="21">
        <v>20786</v>
      </c>
      <c r="D56" s="363"/>
      <c r="E56" s="409"/>
    </row>
    <row r="57" spans="1:9" ht="15" x14ac:dyDescent="0.25">
      <c r="A57" s="873" t="s">
        <v>764</v>
      </c>
      <c r="B57" s="216">
        <v>5200</v>
      </c>
      <c r="C57" s="21">
        <v>31854</v>
      </c>
      <c r="D57" s="363"/>
    </row>
    <row r="58" spans="1:9" ht="15.75" x14ac:dyDescent="0.25">
      <c r="A58" s="875" t="s">
        <v>674</v>
      </c>
      <c r="B58" s="216">
        <v>5200</v>
      </c>
      <c r="C58" s="21">
        <v>14529</v>
      </c>
      <c r="D58" s="363"/>
    </row>
    <row r="59" spans="1:9" ht="15" x14ac:dyDescent="0.25">
      <c r="A59" s="871" t="s">
        <v>279</v>
      </c>
      <c r="B59" s="216">
        <v>2200</v>
      </c>
      <c r="C59" s="21">
        <v>1200</v>
      </c>
      <c r="D59" s="363"/>
    </row>
    <row r="60" spans="1:9" ht="15" x14ac:dyDescent="0.25">
      <c r="A60" s="871" t="s">
        <v>405</v>
      </c>
      <c r="B60" s="216">
        <v>2300</v>
      </c>
      <c r="C60" s="21">
        <v>300</v>
      </c>
      <c r="D60" s="363"/>
    </row>
    <row r="61" spans="1:9" ht="30" x14ac:dyDescent="0.25">
      <c r="A61" s="220" t="s">
        <v>765</v>
      </c>
      <c r="B61" s="216">
        <v>2200</v>
      </c>
      <c r="C61" s="21">
        <v>10000</v>
      </c>
      <c r="D61" s="363"/>
    </row>
    <row r="62" spans="1:9" ht="15.75" x14ac:dyDescent="0.25">
      <c r="A62" s="874" t="s">
        <v>766</v>
      </c>
      <c r="B62" s="216">
        <v>2200</v>
      </c>
      <c r="C62" s="21">
        <v>20000</v>
      </c>
      <c r="D62" s="710"/>
      <c r="E62" s="655"/>
      <c r="F62" s="655"/>
      <c r="G62" s="655"/>
      <c r="H62" s="655"/>
      <c r="I62" s="655"/>
    </row>
    <row r="63" spans="1:9" ht="30" x14ac:dyDescent="0.25">
      <c r="A63" s="984" t="s">
        <v>767</v>
      </c>
      <c r="B63" s="245">
        <v>5200</v>
      </c>
      <c r="C63" s="985">
        <v>150000</v>
      </c>
      <c r="D63" s="363"/>
    </row>
    <row r="64" spans="1:9" ht="30" x14ac:dyDescent="0.25">
      <c r="A64" s="984" t="s">
        <v>768</v>
      </c>
      <c r="B64" s="245">
        <v>5200</v>
      </c>
      <c r="C64" s="985">
        <f>85000-30000</f>
        <v>55000</v>
      </c>
      <c r="D64" s="363"/>
    </row>
    <row r="65" spans="1:5" ht="60" x14ac:dyDescent="0.25">
      <c r="A65" s="984" t="s">
        <v>769</v>
      </c>
      <c r="B65" s="245">
        <v>5200</v>
      </c>
      <c r="C65" s="986">
        <v>85000</v>
      </c>
    </row>
    <row r="66" spans="1:5" ht="15" x14ac:dyDescent="0.25">
      <c r="A66" s="364" t="s">
        <v>372</v>
      </c>
      <c r="B66" s="245">
        <v>2200</v>
      </c>
      <c r="C66" s="651">
        <v>400</v>
      </c>
    </row>
    <row r="67" spans="1:5" ht="15" x14ac:dyDescent="0.25">
      <c r="A67" s="364" t="s">
        <v>280</v>
      </c>
      <c r="B67" s="245">
        <v>2200</v>
      </c>
      <c r="C67" s="276">
        <v>290</v>
      </c>
    </row>
    <row r="68" spans="1:5" ht="30.75" thickBot="1" x14ac:dyDescent="0.3">
      <c r="A68" s="288" t="s">
        <v>362</v>
      </c>
      <c r="B68" s="289">
        <v>2200</v>
      </c>
      <c r="C68" s="452">
        <v>160000</v>
      </c>
    </row>
    <row r="69" spans="1:5" ht="15.75" thickBot="1" x14ac:dyDescent="0.3">
      <c r="A69" s="224" t="s">
        <v>32</v>
      </c>
      <c r="B69" s="225"/>
      <c r="C69" s="226">
        <f>SUM(C51:C68)</f>
        <v>609259</v>
      </c>
      <c r="D69" s="417"/>
      <c r="E69" s="417"/>
    </row>
    <row r="70" spans="1:5" ht="15.75" x14ac:dyDescent="0.25">
      <c r="A70" s="246"/>
      <c r="B70" s="35"/>
      <c r="C70" s="34"/>
    </row>
    <row r="71" spans="1:5" ht="15" x14ac:dyDescent="0.25">
      <c r="A71" s="8" t="s">
        <v>129</v>
      </c>
      <c r="B71" s="25" t="s">
        <v>38</v>
      </c>
    </row>
  </sheetData>
  <mergeCells count="4">
    <mergeCell ref="A2:C2"/>
    <mergeCell ref="A10:C10"/>
    <mergeCell ref="A24:C24"/>
    <mergeCell ref="A41:C41"/>
  </mergeCells>
  <phoneticPr fontId="0" type="noConversion"/>
  <pageMargins left="0.74803149606299213" right="0.74803149606299213" top="0.39370078740157483" bottom="0.39370078740157483" header="0.51181102362204722" footer="0.51181102362204722"/>
  <pageSetup paperSize="9" scale="7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34"/>
  <sheetViews>
    <sheetView topLeftCell="B1" workbookViewId="0">
      <selection activeCell="P10" sqref="P10"/>
    </sheetView>
  </sheetViews>
  <sheetFormatPr defaultColWidth="9.28515625" defaultRowHeight="15" x14ac:dyDescent="0.25"/>
  <cols>
    <col min="1" max="1" width="6" style="1" hidden="1" customWidth="1"/>
    <col min="2" max="2" width="7.7109375" style="1" customWidth="1"/>
    <col min="3" max="3" width="48.7109375" style="1" customWidth="1"/>
    <col min="4" max="4" width="9.42578125" style="1" customWidth="1"/>
    <col min="5" max="5" width="10.140625" style="1" customWidth="1"/>
    <col min="6" max="6" width="9.5703125" style="1" customWidth="1"/>
    <col min="7" max="8" width="8.7109375" style="1" customWidth="1"/>
    <col min="9" max="9" width="9.42578125" style="1" customWidth="1"/>
    <col min="10" max="10" width="9.5703125" style="1" customWidth="1"/>
    <col min="11" max="11" width="8.7109375" style="1" customWidth="1"/>
    <col min="12" max="13" width="9.28515625" style="1" customWidth="1"/>
    <col min="14" max="16384" width="9.28515625" style="1"/>
  </cols>
  <sheetData>
    <row r="1" spans="1:12" x14ac:dyDescent="0.25">
      <c r="C1" s="2" t="s">
        <v>0</v>
      </c>
      <c r="I1" s="6" t="s">
        <v>361</v>
      </c>
    </row>
    <row r="3" spans="1:12" x14ac:dyDescent="0.25">
      <c r="A3" s="3"/>
      <c r="B3" s="3" t="s">
        <v>761</v>
      </c>
    </row>
    <row r="4" spans="1:12" x14ac:dyDescent="0.25">
      <c r="C4" s="3" t="s">
        <v>381</v>
      </c>
    </row>
    <row r="5" spans="1:12" x14ac:dyDescent="0.25">
      <c r="A5" s="3"/>
      <c r="B5" s="115" t="s">
        <v>108</v>
      </c>
      <c r="C5" s="116"/>
      <c r="D5" s="117" t="s">
        <v>705</v>
      </c>
      <c r="E5" s="117" t="s">
        <v>706</v>
      </c>
      <c r="F5" s="117" t="s">
        <v>707</v>
      </c>
      <c r="G5" s="117" t="s">
        <v>708</v>
      </c>
      <c r="H5" s="117" t="s">
        <v>709</v>
      </c>
      <c r="I5" s="117" t="s">
        <v>710</v>
      </c>
      <c r="J5" s="117" t="s">
        <v>711</v>
      </c>
      <c r="K5" s="117" t="s">
        <v>712</v>
      </c>
    </row>
    <row r="6" spans="1:12" s="8" customFormat="1" ht="30" customHeight="1" thickBot="1" x14ac:dyDescent="0.3">
      <c r="C6" s="118"/>
      <c r="D6" s="119" t="s">
        <v>702</v>
      </c>
      <c r="E6" s="119" t="s">
        <v>799</v>
      </c>
      <c r="F6" s="119" t="s">
        <v>703</v>
      </c>
      <c r="G6" s="119" t="s">
        <v>704</v>
      </c>
      <c r="H6" s="119" t="s">
        <v>713</v>
      </c>
      <c r="I6" s="119" t="s">
        <v>714</v>
      </c>
      <c r="J6" s="119" t="s">
        <v>716</v>
      </c>
      <c r="K6" s="119" t="s">
        <v>715</v>
      </c>
    </row>
    <row r="7" spans="1:12" ht="39.75" customHeight="1" thickBot="1" x14ac:dyDescent="0.35">
      <c r="A7" s="121"/>
      <c r="B7" s="114" t="s">
        <v>7</v>
      </c>
      <c r="C7" s="122" t="s">
        <v>10</v>
      </c>
      <c r="D7" s="59" t="s">
        <v>382</v>
      </c>
      <c r="E7" s="59" t="s">
        <v>382</v>
      </c>
      <c r="F7" s="59" t="s">
        <v>382</v>
      </c>
      <c r="G7" s="59" t="s">
        <v>382</v>
      </c>
      <c r="H7" s="59" t="s">
        <v>382</v>
      </c>
      <c r="I7" s="59" t="s">
        <v>382</v>
      </c>
      <c r="J7" s="59" t="s">
        <v>382</v>
      </c>
      <c r="K7" s="59" t="s">
        <v>382</v>
      </c>
    </row>
    <row r="8" spans="1:12" x14ac:dyDescent="0.25">
      <c r="A8" s="123"/>
      <c r="B8" s="124">
        <v>1100</v>
      </c>
      <c r="C8" s="125" t="s">
        <v>11</v>
      </c>
      <c r="D8" s="169">
        <v>70727</v>
      </c>
      <c r="E8" s="812">
        <v>73543</v>
      </c>
      <c r="F8" s="812">
        <v>106154</v>
      </c>
      <c r="G8" s="812">
        <v>141005</v>
      </c>
      <c r="H8" s="812">
        <v>44561</v>
      </c>
      <c r="I8" s="812">
        <v>14080</v>
      </c>
      <c r="J8" s="812">
        <v>128437</v>
      </c>
      <c r="K8" s="812">
        <v>256855</v>
      </c>
    </row>
    <row r="9" spans="1:12" ht="26.25" customHeight="1" x14ac:dyDescent="0.25">
      <c r="A9" s="129"/>
      <c r="B9" s="130">
        <v>1200</v>
      </c>
      <c r="C9" s="131" t="s">
        <v>12</v>
      </c>
      <c r="D9" s="68">
        <v>21929</v>
      </c>
      <c r="E9" s="132">
        <v>23604</v>
      </c>
      <c r="F9" s="132">
        <v>30596</v>
      </c>
      <c r="G9" s="132">
        <v>41175</v>
      </c>
      <c r="H9" s="132">
        <v>12574</v>
      </c>
      <c r="I9" s="132">
        <v>4165</v>
      </c>
      <c r="J9" s="132">
        <v>36849</v>
      </c>
      <c r="K9" s="132">
        <v>74447</v>
      </c>
    </row>
    <row r="10" spans="1:12" x14ac:dyDescent="0.25">
      <c r="A10" s="129"/>
      <c r="B10" s="130">
        <v>2000</v>
      </c>
      <c r="C10" s="77" t="s">
        <v>13</v>
      </c>
      <c r="D10" s="107">
        <f>SUM(D11:D15)</f>
        <v>106512</v>
      </c>
      <c r="E10" s="139">
        <f t="shared" ref="E10:K10" si="0">SUM(E11:E15)</f>
        <v>55318</v>
      </c>
      <c r="F10" s="139">
        <f t="shared" si="0"/>
        <v>201775</v>
      </c>
      <c r="G10" s="139">
        <f t="shared" si="0"/>
        <v>285096</v>
      </c>
      <c r="H10" s="139">
        <f t="shared" si="0"/>
        <v>27632</v>
      </c>
      <c r="I10" s="139">
        <f t="shared" si="0"/>
        <v>42223</v>
      </c>
      <c r="J10" s="139">
        <f t="shared" si="0"/>
        <v>171732</v>
      </c>
      <c r="K10" s="139">
        <f t="shared" si="0"/>
        <v>247281</v>
      </c>
    </row>
    <row r="11" spans="1:12" x14ac:dyDescent="0.25">
      <c r="A11" s="129"/>
      <c r="B11" s="130">
        <v>2100</v>
      </c>
      <c r="C11" s="77" t="s">
        <v>14</v>
      </c>
      <c r="D11" s="107">
        <v>95</v>
      </c>
      <c r="E11" s="139"/>
      <c r="F11" s="139"/>
      <c r="G11" s="139"/>
      <c r="H11" s="139"/>
      <c r="I11" s="139"/>
      <c r="J11" s="139">
        <v>200</v>
      </c>
      <c r="K11" s="139"/>
    </row>
    <row r="12" spans="1:12" x14ac:dyDescent="0.25">
      <c r="A12" s="129"/>
      <c r="B12" s="130">
        <v>2200</v>
      </c>
      <c r="C12" s="77" t="s">
        <v>15</v>
      </c>
      <c r="D12" s="133">
        <v>83444</v>
      </c>
      <c r="E12" s="140">
        <v>43645</v>
      </c>
      <c r="F12" s="140">
        <v>145829</v>
      </c>
      <c r="G12" s="140">
        <v>255171</v>
      </c>
      <c r="H12" s="140">
        <v>20962</v>
      </c>
      <c r="I12" s="140">
        <v>34023</v>
      </c>
      <c r="J12" s="140">
        <v>124728</v>
      </c>
      <c r="K12" s="140">
        <v>163488</v>
      </c>
      <c r="L12" s="6"/>
    </row>
    <row r="13" spans="1:12" ht="30" x14ac:dyDescent="0.25">
      <c r="A13" s="129"/>
      <c r="B13" s="130">
        <v>2300</v>
      </c>
      <c r="C13" s="131" t="s">
        <v>16</v>
      </c>
      <c r="D13" s="133">
        <v>20588</v>
      </c>
      <c r="E13" s="140">
        <v>11544</v>
      </c>
      <c r="F13" s="140">
        <v>55046</v>
      </c>
      <c r="G13" s="140">
        <v>29925</v>
      </c>
      <c r="H13" s="140">
        <v>6470</v>
      </c>
      <c r="I13" s="140">
        <v>8000</v>
      </c>
      <c r="J13" s="140">
        <v>45504</v>
      </c>
      <c r="K13" s="140">
        <v>68293</v>
      </c>
      <c r="L13" s="6"/>
    </row>
    <row r="14" spans="1:12" x14ac:dyDescent="0.25">
      <c r="A14" s="138"/>
      <c r="B14" s="66">
        <v>2400</v>
      </c>
      <c r="C14" s="77" t="s">
        <v>56</v>
      </c>
      <c r="D14" s="107"/>
      <c r="E14" s="139"/>
      <c r="F14" s="139"/>
      <c r="G14" s="139"/>
      <c r="H14" s="139"/>
      <c r="I14" s="139"/>
      <c r="J14" s="139"/>
      <c r="K14" s="139"/>
    </row>
    <row r="15" spans="1:12" x14ac:dyDescent="0.25">
      <c r="A15" s="129"/>
      <c r="B15" s="130">
        <v>2500</v>
      </c>
      <c r="C15" s="77" t="s">
        <v>17</v>
      </c>
      <c r="D15" s="107">
        <v>2385</v>
      </c>
      <c r="E15" s="139">
        <v>129</v>
      </c>
      <c r="F15" s="139">
        <v>900</v>
      </c>
      <c r="G15" s="139"/>
      <c r="H15" s="139">
        <v>200</v>
      </c>
      <c r="I15" s="139">
        <v>200</v>
      </c>
      <c r="J15" s="139">
        <v>1300</v>
      </c>
      <c r="K15" s="139">
        <v>15500</v>
      </c>
    </row>
    <row r="16" spans="1:12" x14ac:dyDescent="0.25">
      <c r="A16" s="129"/>
      <c r="B16" s="130">
        <v>3200</v>
      </c>
      <c r="C16" s="304" t="s">
        <v>182</v>
      </c>
      <c r="D16" s="107"/>
      <c r="E16" s="139"/>
      <c r="F16" s="139"/>
      <c r="G16" s="139"/>
      <c r="H16" s="139"/>
      <c r="I16" s="139"/>
      <c r="J16" s="139"/>
      <c r="K16" s="139"/>
    </row>
    <row r="17" spans="1:14" x14ac:dyDescent="0.25">
      <c r="A17" s="129"/>
      <c r="B17" s="130">
        <v>4200</v>
      </c>
      <c r="C17" s="77" t="s">
        <v>19</v>
      </c>
      <c r="D17" s="107"/>
      <c r="E17" s="139"/>
      <c r="F17" s="139"/>
      <c r="G17" s="139"/>
      <c r="H17" s="139"/>
      <c r="I17" s="139"/>
      <c r="J17" s="139"/>
      <c r="K17" s="139"/>
    </row>
    <row r="18" spans="1:14" x14ac:dyDescent="0.25">
      <c r="A18" s="129"/>
      <c r="B18" s="130">
        <v>4300</v>
      </c>
      <c r="C18" s="77" t="s">
        <v>20</v>
      </c>
      <c r="D18" s="107"/>
      <c r="E18" s="139"/>
      <c r="F18" s="139"/>
      <c r="G18" s="139"/>
      <c r="H18" s="139"/>
      <c r="I18" s="139"/>
      <c r="J18" s="139"/>
      <c r="K18" s="139"/>
    </row>
    <row r="19" spans="1:14" x14ac:dyDescent="0.25">
      <c r="A19" s="129"/>
      <c r="B19" s="130">
        <v>5100</v>
      </c>
      <c r="C19" s="77" t="s">
        <v>22</v>
      </c>
      <c r="D19" s="107"/>
      <c r="E19" s="139"/>
      <c r="F19" s="139"/>
      <c r="G19" s="139"/>
      <c r="H19" s="139"/>
      <c r="I19" s="139"/>
      <c r="J19" s="139"/>
      <c r="K19" s="139"/>
      <c r="N19" s="1" t="s">
        <v>246</v>
      </c>
    </row>
    <row r="20" spans="1:14" x14ac:dyDescent="0.25">
      <c r="A20" s="129"/>
      <c r="B20" s="130">
        <v>5200</v>
      </c>
      <c r="C20" s="77" t="s">
        <v>23</v>
      </c>
      <c r="D20" s="133"/>
      <c r="E20" s="140">
        <v>1350</v>
      </c>
      <c r="F20" s="140">
        <v>45000</v>
      </c>
      <c r="G20" s="140">
        <v>15054</v>
      </c>
      <c r="H20" s="140"/>
      <c r="I20" s="140"/>
      <c r="J20" s="140">
        <v>29472</v>
      </c>
      <c r="K20" s="140">
        <v>54939</v>
      </c>
      <c r="M20" s="6"/>
      <c r="N20" s="6"/>
    </row>
    <row r="21" spans="1:14" x14ac:dyDescent="0.25">
      <c r="A21" s="129"/>
      <c r="B21" s="130">
        <v>6000</v>
      </c>
      <c r="C21" s="67" t="s">
        <v>53</v>
      </c>
      <c r="D21" s="137">
        <v>0</v>
      </c>
      <c r="E21" s="136">
        <v>0</v>
      </c>
      <c r="F21" s="136">
        <v>0</v>
      </c>
      <c r="G21" s="136">
        <v>0</v>
      </c>
      <c r="H21" s="136">
        <v>0</v>
      </c>
      <c r="I21" s="136">
        <v>0</v>
      </c>
      <c r="J21" s="136">
        <v>0</v>
      </c>
      <c r="K21" s="136">
        <v>0</v>
      </c>
    </row>
    <row r="22" spans="1:14" s="3" customFormat="1" x14ac:dyDescent="0.25">
      <c r="A22" s="129"/>
      <c r="B22" s="130">
        <v>6200</v>
      </c>
      <c r="C22" s="77" t="s">
        <v>24</v>
      </c>
      <c r="D22" s="200"/>
      <c r="E22" s="199"/>
      <c r="F22" s="199"/>
      <c r="G22" s="199"/>
      <c r="H22" s="199"/>
      <c r="I22" s="199"/>
      <c r="J22" s="199"/>
      <c r="K22" s="199"/>
    </row>
    <row r="23" spans="1:14" x14ac:dyDescent="0.25">
      <c r="A23" s="129"/>
      <c r="B23" s="130">
        <v>6300</v>
      </c>
      <c r="C23" s="67" t="s">
        <v>54</v>
      </c>
      <c r="D23" s="137"/>
      <c r="E23" s="136"/>
      <c r="F23" s="136"/>
      <c r="G23" s="136"/>
      <c r="H23" s="136"/>
      <c r="I23" s="136"/>
      <c r="J23" s="136"/>
      <c r="K23" s="136"/>
    </row>
    <row r="24" spans="1:14" ht="15" customHeight="1" x14ac:dyDescent="0.25">
      <c r="A24" s="129"/>
      <c r="B24" s="130">
        <v>6400</v>
      </c>
      <c r="C24" s="86" t="s">
        <v>70</v>
      </c>
      <c r="D24" s="137"/>
      <c r="E24" s="136"/>
      <c r="F24" s="136"/>
      <c r="G24" s="136"/>
      <c r="H24" s="136"/>
      <c r="I24" s="136"/>
      <c r="J24" s="136"/>
      <c r="K24" s="136"/>
    </row>
    <row r="25" spans="1:14" ht="15.75" thickBot="1" x14ac:dyDescent="0.3">
      <c r="A25" s="129"/>
      <c r="B25" s="130">
        <v>7200</v>
      </c>
      <c r="C25" s="77" t="s">
        <v>25</v>
      </c>
      <c r="D25" s="403"/>
      <c r="E25" s="812"/>
      <c r="F25" s="812"/>
      <c r="G25" s="812"/>
      <c r="H25" s="812"/>
      <c r="I25" s="812"/>
      <c r="J25" s="812"/>
      <c r="K25" s="812"/>
    </row>
    <row r="26" spans="1:14" ht="16.5" thickBot="1" x14ac:dyDescent="0.3">
      <c r="A26" s="142"/>
      <c r="B26" s="143"/>
      <c r="C26" s="144" t="s">
        <v>26</v>
      </c>
      <c r="D26" s="145">
        <f>SUM(D8+D9+D10+D17+D18+D19+D20+D21+D25)</f>
        <v>199168</v>
      </c>
      <c r="E26" s="146">
        <f t="shared" ref="E26:J26" si="1">SUM(E8+E9+E10+E17+E18+E19+E20+E22+E24+E25)</f>
        <v>153815</v>
      </c>
      <c r="F26" s="146">
        <f t="shared" si="1"/>
        <v>383525</v>
      </c>
      <c r="G26" s="146">
        <f t="shared" si="1"/>
        <v>482330</v>
      </c>
      <c r="H26" s="146">
        <f t="shared" si="1"/>
        <v>84767</v>
      </c>
      <c r="I26" s="146">
        <f t="shared" si="1"/>
        <v>60468</v>
      </c>
      <c r="J26" s="146">
        <f t="shared" si="1"/>
        <v>366490</v>
      </c>
      <c r="K26" s="146">
        <f>SUM(K8+K9+K10+K16+K17+K18+K19+K20+K22+K24+K25)</f>
        <v>633522</v>
      </c>
    </row>
    <row r="27" spans="1:14" x14ac:dyDescent="0.25">
      <c r="A27" s="4"/>
      <c r="B27" s="4"/>
      <c r="C27" s="98"/>
      <c r="D27" s="184"/>
      <c r="E27" s="184"/>
      <c r="F27" s="184"/>
      <c r="G27" s="184"/>
      <c r="H27" s="184"/>
      <c r="I27" s="184"/>
      <c r="J27" s="184"/>
      <c r="K27" s="184"/>
    </row>
    <row r="28" spans="1:14" x14ac:dyDescent="0.25">
      <c r="C28" s="1090" t="s">
        <v>678</v>
      </c>
      <c r="D28" s="1090"/>
    </row>
    <row r="30" spans="1:14" x14ac:dyDescent="0.25">
      <c r="C30" s="2"/>
      <c r="D30" s="217"/>
      <c r="E30" s="217"/>
      <c r="F30" s="217"/>
      <c r="G30" s="217"/>
      <c r="H30" s="217"/>
      <c r="I30" s="217"/>
      <c r="J30" s="217"/>
      <c r="K30" s="217"/>
    </row>
    <row r="31" spans="1:14" x14ac:dyDescent="0.25">
      <c r="C31" s="680"/>
      <c r="L31" s="334"/>
    </row>
    <row r="32" spans="1:14" x14ac:dyDescent="0.25">
      <c r="C32" s="2"/>
    </row>
    <row r="34" spans="3:3" x14ac:dyDescent="0.25">
      <c r="C34" s="2"/>
    </row>
  </sheetData>
  <mergeCells count="1">
    <mergeCell ref="C28:D28"/>
  </mergeCells>
  <pageMargins left="0.7" right="0.7" top="0.75" bottom="0.75" header="0.3" footer="0.3"/>
  <pageSetup paperSize="9" scale="9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P35"/>
  <sheetViews>
    <sheetView workbookViewId="0">
      <selection activeCell="R25" sqref="R25"/>
    </sheetView>
  </sheetViews>
  <sheetFormatPr defaultColWidth="9.28515625" defaultRowHeight="15" x14ac:dyDescent="0.25"/>
  <cols>
    <col min="1" max="1" width="8.5703125" style="1" customWidth="1"/>
    <col min="2" max="2" width="48.7109375" style="8" customWidth="1"/>
    <col min="3" max="3" width="9.140625" style="1" customWidth="1"/>
    <col min="4" max="4" width="10" style="1" customWidth="1"/>
    <col min="5" max="5" width="8.7109375" style="10" customWidth="1"/>
    <col min="6" max="6" width="8.28515625" style="1" customWidth="1"/>
    <col min="7" max="7" width="9.140625" style="1" customWidth="1"/>
    <col min="8" max="8" width="8.5703125" style="1" customWidth="1"/>
    <col min="9" max="9" width="9.28515625" style="1" customWidth="1"/>
    <col min="10" max="10" width="9.28515625" style="6" customWidth="1"/>
    <col min="11" max="13" width="9.5703125" style="6" customWidth="1"/>
    <col min="14" max="15" width="8.85546875" style="6" customWidth="1"/>
    <col min="16" max="16" width="8.42578125" style="1" customWidth="1"/>
    <col min="17" max="257" width="9.28515625" style="1"/>
    <col min="258" max="258" width="8.5703125" style="1" customWidth="1"/>
    <col min="259" max="259" width="7.140625" style="1" customWidth="1"/>
    <col min="260" max="260" width="42.140625" style="1" customWidth="1"/>
    <col min="261" max="262" width="9.140625" style="1" customWidth="1"/>
    <col min="263" max="263" width="8.7109375" style="1" customWidth="1"/>
    <col min="264" max="265" width="8.42578125" style="1" customWidth="1"/>
    <col min="266" max="266" width="8.28515625" style="1" customWidth="1"/>
    <col min="267" max="267" width="11.28515625" style="1" customWidth="1"/>
    <col min="268" max="268" width="8.5703125" style="1" customWidth="1"/>
    <col min="269" max="269" width="9.28515625" style="1" customWidth="1"/>
    <col min="270" max="270" width="9.5703125" style="1" customWidth="1"/>
    <col min="271" max="271" width="8.85546875" style="1" customWidth="1"/>
    <col min="272" max="272" width="8.42578125" style="1" customWidth="1"/>
    <col min="273" max="513" width="9.28515625" style="1"/>
    <col min="514" max="514" width="8.5703125" style="1" customWidth="1"/>
    <col min="515" max="515" width="7.140625" style="1" customWidth="1"/>
    <col min="516" max="516" width="42.140625" style="1" customWidth="1"/>
    <col min="517" max="518" width="9.140625" style="1" customWidth="1"/>
    <col min="519" max="519" width="8.7109375" style="1" customWidth="1"/>
    <col min="520" max="521" width="8.42578125" style="1" customWidth="1"/>
    <col min="522" max="522" width="8.28515625" style="1" customWidth="1"/>
    <col min="523" max="523" width="11.28515625" style="1" customWidth="1"/>
    <col min="524" max="524" width="8.5703125" style="1" customWidth="1"/>
    <col min="525" max="525" width="9.28515625" style="1" customWidth="1"/>
    <col min="526" max="526" width="9.5703125" style="1" customWidth="1"/>
    <col min="527" max="527" width="8.85546875" style="1" customWidth="1"/>
    <col min="528" max="528" width="8.42578125" style="1" customWidth="1"/>
    <col min="529" max="769" width="9.28515625" style="1"/>
    <col min="770" max="770" width="8.5703125" style="1" customWidth="1"/>
    <col min="771" max="771" width="7.140625" style="1" customWidth="1"/>
    <col min="772" max="772" width="42.140625" style="1" customWidth="1"/>
    <col min="773" max="774" width="9.140625" style="1" customWidth="1"/>
    <col min="775" max="775" width="8.7109375" style="1" customWidth="1"/>
    <col min="776" max="777" width="8.42578125" style="1" customWidth="1"/>
    <col min="778" max="778" width="8.28515625" style="1" customWidth="1"/>
    <col min="779" max="779" width="11.28515625" style="1" customWidth="1"/>
    <col min="780" max="780" width="8.5703125" style="1" customWidth="1"/>
    <col min="781" max="781" width="9.28515625" style="1" customWidth="1"/>
    <col min="782" max="782" width="9.5703125" style="1" customWidth="1"/>
    <col min="783" max="783" width="8.85546875" style="1" customWidth="1"/>
    <col min="784" max="784" width="8.42578125" style="1" customWidth="1"/>
    <col min="785" max="1025" width="9.28515625" style="1"/>
    <col min="1026" max="1026" width="8.5703125" style="1" customWidth="1"/>
    <col min="1027" max="1027" width="7.140625" style="1" customWidth="1"/>
    <col min="1028" max="1028" width="42.140625" style="1" customWidth="1"/>
    <col min="1029" max="1030" width="9.140625" style="1" customWidth="1"/>
    <col min="1031" max="1031" width="8.7109375" style="1" customWidth="1"/>
    <col min="1032" max="1033" width="8.42578125" style="1" customWidth="1"/>
    <col min="1034" max="1034" width="8.28515625" style="1" customWidth="1"/>
    <col min="1035" max="1035" width="11.28515625" style="1" customWidth="1"/>
    <col min="1036" max="1036" width="8.5703125" style="1" customWidth="1"/>
    <col min="1037" max="1037" width="9.28515625" style="1" customWidth="1"/>
    <col min="1038" max="1038" width="9.5703125" style="1" customWidth="1"/>
    <col min="1039" max="1039" width="8.85546875" style="1" customWidth="1"/>
    <col min="1040" max="1040" width="8.42578125" style="1" customWidth="1"/>
    <col min="1041" max="1281" width="9.28515625" style="1"/>
    <col min="1282" max="1282" width="8.5703125" style="1" customWidth="1"/>
    <col min="1283" max="1283" width="7.140625" style="1" customWidth="1"/>
    <col min="1284" max="1284" width="42.140625" style="1" customWidth="1"/>
    <col min="1285" max="1286" width="9.140625" style="1" customWidth="1"/>
    <col min="1287" max="1287" width="8.7109375" style="1" customWidth="1"/>
    <col min="1288" max="1289" width="8.42578125" style="1" customWidth="1"/>
    <col min="1290" max="1290" width="8.28515625" style="1" customWidth="1"/>
    <col min="1291" max="1291" width="11.28515625" style="1" customWidth="1"/>
    <col min="1292" max="1292" width="8.5703125" style="1" customWidth="1"/>
    <col min="1293" max="1293" width="9.28515625" style="1" customWidth="1"/>
    <col min="1294" max="1294" width="9.5703125" style="1" customWidth="1"/>
    <col min="1295" max="1295" width="8.85546875" style="1" customWidth="1"/>
    <col min="1296" max="1296" width="8.42578125" style="1" customWidth="1"/>
    <col min="1297" max="1537" width="9.28515625" style="1"/>
    <col min="1538" max="1538" width="8.5703125" style="1" customWidth="1"/>
    <col min="1539" max="1539" width="7.140625" style="1" customWidth="1"/>
    <col min="1540" max="1540" width="42.140625" style="1" customWidth="1"/>
    <col min="1541" max="1542" width="9.140625" style="1" customWidth="1"/>
    <col min="1543" max="1543" width="8.7109375" style="1" customWidth="1"/>
    <col min="1544" max="1545" width="8.42578125" style="1" customWidth="1"/>
    <col min="1546" max="1546" width="8.28515625" style="1" customWidth="1"/>
    <col min="1547" max="1547" width="11.28515625" style="1" customWidth="1"/>
    <col min="1548" max="1548" width="8.5703125" style="1" customWidth="1"/>
    <col min="1549" max="1549" width="9.28515625" style="1" customWidth="1"/>
    <col min="1550" max="1550" width="9.5703125" style="1" customWidth="1"/>
    <col min="1551" max="1551" width="8.85546875" style="1" customWidth="1"/>
    <col min="1552" max="1552" width="8.42578125" style="1" customWidth="1"/>
    <col min="1553" max="1793" width="9.28515625" style="1"/>
    <col min="1794" max="1794" width="8.5703125" style="1" customWidth="1"/>
    <col min="1795" max="1795" width="7.140625" style="1" customWidth="1"/>
    <col min="1796" max="1796" width="42.140625" style="1" customWidth="1"/>
    <col min="1797" max="1798" width="9.140625" style="1" customWidth="1"/>
    <col min="1799" max="1799" width="8.7109375" style="1" customWidth="1"/>
    <col min="1800" max="1801" width="8.42578125" style="1" customWidth="1"/>
    <col min="1802" max="1802" width="8.28515625" style="1" customWidth="1"/>
    <col min="1803" max="1803" width="11.28515625" style="1" customWidth="1"/>
    <col min="1804" max="1804" width="8.5703125" style="1" customWidth="1"/>
    <col min="1805" max="1805" width="9.28515625" style="1" customWidth="1"/>
    <col min="1806" max="1806" width="9.5703125" style="1" customWidth="1"/>
    <col min="1807" max="1807" width="8.85546875" style="1" customWidth="1"/>
    <col min="1808" max="1808" width="8.42578125" style="1" customWidth="1"/>
    <col min="1809" max="2049" width="9.28515625" style="1"/>
    <col min="2050" max="2050" width="8.5703125" style="1" customWidth="1"/>
    <col min="2051" max="2051" width="7.140625" style="1" customWidth="1"/>
    <col min="2052" max="2052" width="42.140625" style="1" customWidth="1"/>
    <col min="2053" max="2054" width="9.140625" style="1" customWidth="1"/>
    <col min="2055" max="2055" width="8.7109375" style="1" customWidth="1"/>
    <col min="2056" max="2057" width="8.42578125" style="1" customWidth="1"/>
    <col min="2058" max="2058" width="8.28515625" style="1" customWidth="1"/>
    <col min="2059" max="2059" width="11.28515625" style="1" customWidth="1"/>
    <col min="2060" max="2060" width="8.5703125" style="1" customWidth="1"/>
    <col min="2061" max="2061" width="9.28515625" style="1" customWidth="1"/>
    <col min="2062" max="2062" width="9.5703125" style="1" customWidth="1"/>
    <col min="2063" max="2063" width="8.85546875" style="1" customWidth="1"/>
    <col min="2064" max="2064" width="8.42578125" style="1" customWidth="1"/>
    <col min="2065" max="2305" width="9.28515625" style="1"/>
    <col min="2306" max="2306" width="8.5703125" style="1" customWidth="1"/>
    <col min="2307" max="2307" width="7.140625" style="1" customWidth="1"/>
    <col min="2308" max="2308" width="42.140625" style="1" customWidth="1"/>
    <col min="2309" max="2310" width="9.140625" style="1" customWidth="1"/>
    <col min="2311" max="2311" width="8.7109375" style="1" customWidth="1"/>
    <col min="2312" max="2313" width="8.42578125" style="1" customWidth="1"/>
    <col min="2314" max="2314" width="8.28515625" style="1" customWidth="1"/>
    <col min="2315" max="2315" width="11.28515625" style="1" customWidth="1"/>
    <col min="2316" max="2316" width="8.5703125" style="1" customWidth="1"/>
    <col min="2317" max="2317" width="9.28515625" style="1" customWidth="1"/>
    <col min="2318" max="2318" width="9.5703125" style="1" customWidth="1"/>
    <col min="2319" max="2319" width="8.85546875" style="1" customWidth="1"/>
    <col min="2320" max="2320" width="8.42578125" style="1" customWidth="1"/>
    <col min="2321" max="2561" width="9.28515625" style="1"/>
    <col min="2562" max="2562" width="8.5703125" style="1" customWidth="1"/>
    <col min="2563" max="2563" width="7.140625" style="1" customWidth="1"/>
    <col min="2564" max="2564" width="42.140625" style="1" customWidth="1"/>
    <col min="2565" max="2566" width="9.140625" style="1" customWidth="1"/>
    <col min="2567" max="2567" width="8.7109375" style="1" customWidth="1"/>
    <col min="2568" max="2569" width="8.42578125" style="1" customWidth="1"/>
    <col min="2570" max="2570" width="8.28515625" style="1" customWidth="1"/>
    <col min="2571" max="2571" width="11.28515625" style="1" customWidth="1"/>
    <col min="2572" max="2572" width="8.5703125" style="1" customWidth="1"/>
    <col min="2573" max="2573" width="9.28515625" style="1" customWidth="1"/>
    <col min="2574" max="2574" width="9.5703125" style="1" customWidth="1"/>
    <col min="2575" max="2575" width="8.85546875" style="1" customWidth="1"/>
    <col min="2576" max="2576" width="8.42578125" style="1" customWidth="1"/>
    <col min="2577" max="2817" width="9.28515625" style="1"/>
    <col min="2818" max="2818" width="8.5703125" style="1" customWidth="1"/>
    <col min="2819" max="2819" width="7.140625" style="1" customWidth="1"/>
    <col min="2820" max="2820" width="42.140625" style="1" customWidth="1"/>
    <col min="2821" max="2822" width="9.140625" style="1" customWidth="1"/>
    <col min="2823" max="2823" width="8.7109375" style="1" customWidth="1"/>
    <col min="2824" max="2825" width="8.42578125" style="1" customWidth="1"/>
    <col min="2826" max="2826" width="8.28515625" style="1" customWidth="1"/>
    <col min="2827" max="2827" width="11.28515625" style="1" customWidth="1"/>
    <col min="2828" max="2828" width="8.5703125" style="1" customWidth="1"/>
    <col min="2829" max="2829" width="9.28515625" style="1" customWidth="1"/>
    <col min="2830" max="2830" width="9.5703125" style="1" customWidth="1"/>
    <col min="2831" max="2831" width="8.85546875" style="1" customWidth="1"/>
    <col min="2832" max="2832" width="8.42578125" style="1" customWidth="1"/>
    <col min="2833" max="3073" width="9.28515625" style="1"/>
    <col min="3074" max="3074" width="8.5703125" style="1" customWidth="1"/>
    <col min="3075" max="3075" width="7.140625" style="1" customWidth="1"/>
    <col min="3076" max="3076" width="42.140625" style="1" customWidth="1"/>
    <col min="3077" max="3078" width="9.140625" style="1" customWidth="1"/>
    <col min="3079" max="3079" width="8.7109375" style="1" customWidth="1"/>
    <col min="3080" max="3081" width="8.42578125" style="1" customWidth="1"/>
    <col min="3082" max="3082" width="8.28515625" style="1" customWidth="1"/>
    <col min="3083" max="3083" width="11.28515625" style="1" customWidth="1"/>
    <col min="3084" max="3084" width="8.5703125" style="1" customWidth="1"/>
    <col min="3085" max="3085" width="9.28515625" style="1" customWidth="1"/>
    <col min="3086" max="3086" width="9.5703125" style="1" customWidth="1"/>
    <col min="3087" max="3087" width="8.85546875" style="1" customWidth="1"/>
    <col min="3088" max="3088" width="8.42578125" style="1" customWidth="1"/>
    <col min="3089" max="3329" width="9.28515625" style="1"/>
    <col min="3330" max="3330" width="8.5703125" style="1" customWidth="1"/>
    <col min="3331" max="3331" width="7.140625" style="1" customWidth="1"/>
    <col min="3332" max="3332" width="42.140625" style="1" customWidth="1"/>
    <col min="3333" max="3334" width="9.140625" style="1" customWidth="1"/>
    <col min="3335" max="3335" width="8.7109375" style="1" customWidth="1"/>
    <col min="3336" max="3337" width="8.42578125" style="1" customWidth="1"/>
    <col min="3338" max="3338" width="8.28515625" style="1" customWidth="1"/>
    <col min="3339" max="3339" width="11.28515625" style="1" customWidth="1"/>
    <col min="3340" max="3340" width="8.5703125" style="1" customWidth="1"/>
    <col min="3341" max="3341" width="9.28515625" style="1" customWidth="1"/>
    <col min="3342" max="3342" width="9.5703125" style="1" customWidth="1"/>
    <col min="3343" max="3343" width="8.85546875" style="1" customWidth="1"/>
    <col min="3344" max="3344" width="8.42578125" style="1" customWidth="1"/>
    <col min="3345" max="3585" width="9.28515625" style="1"/>
    <col min="3586" max="3586" width="8.5703125" style="1" customWidth="1"/>
    <col min="3587" max="3587" width="7.140625" style="1" customWidth="1"/>
    <col min="3588" max="3588" width="42.140625" style="1" customWidth="1"/>
    <col min="3589" max="3590" width="9.140625" style="1" customWidth="1"/>
    <col min="3591" max="3591" width="8.7109375" style="1" customWidth="1"/>
    <col min="3592" max="3593" width="8.42578125" style="1" customWidth="1"/>
    <col min="3594" max="3594" width="8.28515625" style="1" customWidth="1"/>
    <col min="3595" max="3595" width="11.28515625" style="1" customWidth="1"/>
    <col min="3596" max="3596" width="8.5703125" style="1" customWidth="1"/>
    <col min="3597" max="3597" width="9.28515625" style="1" customWidth="1"/>
    <col min="3598" max="3598" width="9.5703125" style="1" customWidth="1"/>
    <col min="3599" max="3599" width="8.85546875" style="1" customWidth="1"/>
    <col min="3600" max="3600" width="8.42578125" style="1" customWidth="1"/>
    <col min="3601" max="3841" width="9.28515625" style="1"/>
    <col min="3842" max="3842" width="8.5703125" style="1" customWidth="1"/>
    <col min="3843" max="3843" width="7.140625" style="1" customWidth="1"/>
    <col min="3844" max="3844" width="42.140625" style="1" customWidth="1"/>
    <col min="3845" max="3846" width="9.140625" style="1" customWidth="1"/>
    <col min="3847" max="3847" width="8.7109375" style="1" customWidth="1"/>
    <col min="3848" max="3849" width="8.42578125" style="1" customWidth="1"/>
    <col min="3850" max="3850" width="8.28515625" style="1" customWidth="1"/>
    <col min="3851" max="3851" width="11.28515625" style="1" customWidth="1"/>
    <col min="3852" max="3852" width="8.5703125" style="1" customWidth="1"/>
    <col min="3853" max="3853" width="9.28515625" style="1" customWidth="1"/>
    <col min="3854" max="3854" width="9.5703125" style="1" customWidth="1"/>
    <col min="3855" max="3855" width="8.85546875" style="1" customWidth="1"/>
    <col min="3856" max="3856" width="8.42578125" style="1" customWidth="1"/>
    <col min="3857" max="4097" width="9.28515625" style="1"/>
    <col min="4098" max="4098" width="8.5703125" style="1" customWidth="1"/>
    <col min="4099" max="4099" width="7.140625" style="1" customWidth="1"/>
    <col min="4100" max="4100" width="42.140625" style="1" customWidth="1"/>
    <col min="4101" max="4102" width="9.140625" style="1" customWidth="1"/>
    <col min="4103" max="4103" width="8.7109375" style="1" customWidth="1"/>
    <col min="4104" max="4105" width="8.42578125" style="1" customWidth="1"/>
    <col min="4106" max="4106" width="8.28515625" style="1" customWidth="1"/>
    <col min="4107" max="4107" width="11.28515625" style="1" customWidth="1"/>
    <col min="4108" max="4108" width="8.5703125" style="1" customWidth="1"/>
    <col min="4109" max="4109" width="9.28515625" style="1" customWidth="1"/>
    <col min="4110" max="4110" width="9.5703125" style="1" customWidth="1"/>
    <col min="4111" max="4111" width="8.85546875" style="1" customWidth="1"/>
    <col min="4112" max="4112" width="8.42578125" style="1" customWidth="1"/>
    <col min="4113" max="4353" width="9.28515625" style="1"/>
    <col min="4354" max="4354" width="8.5703125" style="1" customWidth="1"/>
    <col min="4355" max="4355" width="7.140625" style="1" customWidth="1"/>
    <col min="4356" max="4356" width="42.140625" style="1" customWidth="1"/>
    <col min="4357" max="4358" width="9.140625" style="1" customWidth="1"/>
    <col min="4359" max="4359" width="8.7109375" style="1" customWidth="1"/>
    <col min="4360" max="4361" width="8.42578125" style="1" customWidth="1"/>
    <col min="4362" max="4362" width="8.28515625" style="1" customWidth="1"/>
    <col min="4363" max="4363" width="11.28515625" style="1" customWidth="1"/>
    <col min="4364" max="4364" width="8.5703125" style="1" customWidth="1"/>
    <col min="4365" max="4365" width="9.28515625" style="1" customWidth="1"/>
    <col min="4366" max="4366" width="9.5703125" style="1" customWidth="1"/>
    <col min="4367" max="4367" width="8.85546875" style="1" customWidth="1"/>
    <col min="4368" max="4368" width="8.42578125" style="1" customWidth="1"/>
    <col min="4369" max="4609" width="9.28515625" style="1"/>
    <col min="4610" max="4610" width="8.5703125" style="1" customWidth="1"/>
    <col min="4611" max="4611" width="7.140625" style="1" customWidth="1"/>
    <col min="4612" max="4612" width="42.140625" style="1" customWidth="1"/>
    <col min="4613" max="4614" width="9.140625" style="1" customWidth="1"/>
    <col min="4615" max="4615" width="8.7109375" style="1" customWidth="1"/>
    <col min="4616" max="4617" width="8.42578125" style="1" customWidth="1"/>
    <col min="4618" max="4618" width="8.28515625" style="1" customWidth="1"/>
    <col min="4619" max="4619" width="11.28515625" style="1" customWidth="1"/>
    <col min="4620" max="4620" width="8.5703125" style="1" customWidth="1"/>
    <col min="4621" max="4621" width="9.28515625" style="1" customWidth="1"/>
    <col min="4622" max="4622" width="9.5703125" style="1" customWidth="1"/>
    <col min="4623" max="4623" width="8.85546875" style="1" customWidth="1"/>
    <col min="4624" max="4624" width="8.42578125" style="1" customWidth="1"/>
    <col min="4625" max="4865" width="9.28515625" style="1"/>
    <col min="4866" max="4866" width="8.5703125" style="1" customWidth="1"/>
    <col min="4867" max="4867" width="7.140625" style="1" customWidth="1"/>
    <col min="4868" max="4868" width="42.140625" style="1" customWidth="1"/>
    <col min="4869" max="4870" width="9.140625" style="1" customWidth="1"/>
    <col min="4871" max="4871" width="8.7109375" style="1" customWidth="1"/>
    <col min="4872" max="4873" width="8.42578125" style="1" customWidth="1"/>
    <col min="4874" max="4874" width="8.28515625" style="1" customWidth="1"/>
    <col min="4875" max="4875" width="11.28515625" style="1" customWidth="1"/>
    <col min="4876" max="4876" width="8.5703125" style="1" customWidth="1"/>
    <col min="4877" max="4877" width="9.28515625" style="1" customWidth="1"/>
    <col min="4878" max="4878" width="9.5703125" style="1" customWidth="1"/>
    <col min="4879" max="4879" width="8.85546875" style="1" customWidth="1"/>
    <col min="4880" max="4880" width="8.42578125" style="1" customWidth="1"/>
    <col min="4881" max="5121" width="9.28515625" style="1"/>
    <col min="5122" max="5122" width="8.5703125" style="1" customWidth="1"/>
    <col min="5123" max="5123" width="7.140625" style="1" customWidth="1"/>
    <col min="5124" max="5124" width="42.140625" style="1" customWidth="1"/>
    <col min="5125" max="5126" width="9.140625" style="1" customWidth="1"/>
    <col min="5127" max="5127" width="8.7109375" style="1" customWidth="1"/>
    <col min="5128" max="5129" width="8.42578125" style="1" customWidth="1"/>
    <col min="5130" max="5130" width="8.28515625" style="1" customWidth="1"/>
    <col min="5131" max="5131" width="11.28515625" style="1" customWidth="1"/>
    <col min="5132" max="5132" width="8.5703125" style="1" customWidth="1"/>
    <col min="5133" max="5133" width="9.28515625" style="1" customWidth="1"/>
    <col min="5134" max="5134" width="9.5703125" style="1" customWidth="1"/>
    <col min="5135" max="5135" width="8.85546875" style="1" customWidth="1"/>
    <col min="5136" max="5136" width="8.42578125" style="1" customWidth="1"/>
    <col min="5137" max="5377" width="9.28515625" style="1"/>
    <col min="5378" max="5378" width="8.5703125" style="1" customWidth="1"/>
    <col min="5379" max="5379" width="7.140625" style="1" customWidth="1"/>
    <col min="5380" max="5380" width="42.140625" style="1" customWidth="1"/>
    <col min="5381" max="5382" width="9.140625" style="1" customWidth="1"/>
    <col min="5383" max="5383" width="8.7109375" style="1" customWidth="1"/>
    <col min="5384" max="5385" width="8.42578125" style="1" customWidth="1"/>
    <col min="5386" max="5386" width="8.28515625" style="1" customWidth="1"/>
    <col min="5387" max="5387" width="11.28515625" style="1" customWidth="1"/>
    <col min="5388" max="5388" width="8.5703125" style="1" customWidth="1"/>
    <col min="5389" max="5389" width="9.28515625" style="1" customWidth="1"/>
    <col min="5390" max="5390" width="9.5703125" style="1" customWidth="1"/>
    <col min="5391" max="5391" width="8.85546875" style="1" customWidth="1"/>
    <col min="5392" max="5392" width="8.42578125" style="1" customWidth="1"/>
    <col min="5393" max="5633" width="9.28515625" style="1"/>
    <col min="5634" max="5634" width="8.5703125" style="1" customWidth="1"/>
    <col min="5635" max="5635" width="7.140625" style="1" customWidth="1"/>
    <col min="5636" max="5636" width="42.140625" style="1" customWidth="1"/>
    <col min="5637" max="5638" width="9.140625" style="1" customWidth="1"/>
    <col min="5639" max="5639" width="8.7109375" style="1" customWidth="1"/>
    <col min="5640" max="5641" width="8.42578125" style="1" customWidth="1"/>
    <col min="5642" max="5642" width="8.28515625" style="1" customWidth="1"/>
    <col min="5643" max="5643" width="11.28515625" style="1" customWidth="1"/>
    <col min="5644" max="5644" width="8.5703125" style="1" customWidth="1"/>
    <col min="5645" max="5645" width="9.28515625" style="1" customWidth="1"/>
    <col min="5646" max="5646" width="9.5703125" style="1" customWidth="1"/>
    <col min="5647" max="5647" width="8.85546875" style="1" customWidth="1"/>
    <col min="5648" max="5648" width="8.42578125" style="1" customWidth="1"/>
    <col min="5649" max="5889" width="9.28515625" style="1"/>
    <col min="5890" max="5890" width="8.5703125" style="1" customWidth="1"/>
    <col min="5891" max="5891" width="7.140625" style="1" customWidth="1"/>
    <col min="5892" max="5892" width="42.140625" style="1" customWidth="1"/>
    <col min="5893" max="5894" width="9.140625" style="1" customWidth="1"/>
    <col min="5895" max="5895" width="8.7109375" style="1" customWidth="1"/>
    <col min="5896" max="5897" width="8.42578125" style="1" customWidth="1"/>
    <col min="5898" max="5898" width="8.28515625" style="1" customWidth="1"/>
    <col min="5899" max="5899" width="11.28515625" style="1" customWidth="1"/>
    <col min="5900" max="5900" width="8.5703125" style="1" customWidth="1"/>
    <col min="5901" max="5901" width="9.28515625" style="1" customWidth="1"/>
    <col min="5902" max="5902" width="9.5703125" style="1" customWidth="1"/>
    <col min="5903" max="5903" width="8.85546875" style="1" customWidth="1"/>
    <col min="5904" max="5904" width="8.42578125" style="1" customWidth="1"/>
    <col min="5905" max="6145" width="9.28515625" style="1"/>
    <col min="6146" max="6146" width="8.5703125" style="1" customWidth="1"/>
    <col min="6147" max="6147" width="7.140625" style="1" customWidth="1"/>
    <col min="6148" max="6148" width="42.140625" style="1" customWidth="1"/>
    <col min="6149" max="6150" width="9.140625" style="1" customWidth="1"/>
    <col min="6151" max="6151" width="8.7109375" style="1" customWidth="1"/>
    <col min="6152" max="6153" width="8.42578125" style="1" customWidth="1"/>
    <col min="6154" max="6154" width="8.28515625" style="1" customWidth="1"/>
    <col min="6155" max="6155" width="11.28515625" style="1" customWidth="1"/>
    <col min="6156" max="6156" width="8.5703125" style="1" customWidth="1"/>
    <col min="6157" max="6157" width="9.28515625" style="1" customWidth="1"/>
    <col min="6158" max="6158" width="9.5703125" style="1" customWidth="1"/>
    <col min="6159" max="6159" width="8.85546875" style="1" customWidth="1"/>
    <col min="6160" max="6160" width="8.42578125" style="1" customWidth="1"/>
    <col min="6161" max="6401" width="9.28515625" style="1"/>
    <col min="6402" max="6402" width="8.5703125" style="1" customWidth="1"/>
    <col min="6403" max="6403" width="7.140625" style="1" customWidth="1"/>
    <col min="6404" max="6404" width="42.140625" style="1" customWidth="1"/>
    <col min="6405" max="6406" width="9.140625" style="1" customWidth="1"/>
    <col min="6407" max="6407" width="8.7109375" style="1" customWidth="1"/>
    <col min="6408" max="6409" width="8.42578125" style="1" customWidth="1"/>
    <col min="6410" max="6410" width="8.28515625" style="1" customWidth="1"/>
    <col min="6411" max="6411" width="11.28515625" style="1" customWidth="1"/>
    <col min="6412" max="6412" width="8.5703125" style="1" customWidth="1"/>
    <col min="6413" max="6413" width="9.28515625" style="1" customWidth="1"/>
    <col min="6414" max="6414" width="9.5703125" style="1" customWidth="1"/>
    <col min="6415" max="6415" width="8.85546875" style="1" customWidth="1"/>
    <col min="6416" max="6416" width="8.42578125" style="1" customWidth="1"/>
    <col min="6417" max="6657" width="9.28515625" style="1"/>
    <col min="6658" max="6658" width="8.5703125" style="1" customWidth="1"/>
    <col min="6659" max="6659" width="7.140625" style="1" customWidth="1"/>
    <col min="6660" max="6660" width="42.140625" style="1" customWidth="1"/>
    <col min="6661" max="6662" width="9.140625" style="1" customWidth="1"/>
    <col min="6663" max="6663" width="8.7109375" style="1" customWidth="1"/>
    <col min="6664" max="6665" width="8.42578125" style="1" customWidth="1"/>
    <col min="6666" max="6666" width="8.28515625" style="1" customWidth="1"/>
    <col min="6667" max="6667" width="11.28515625" style="1" customWidth="1"/>
    <col min="6668" max="6668" width="8.5703125" style="1" customWidth="1"/>
    <col min="6669" max="6669" width="9.28515625" style="1" customWidth="1"/>
    <col min="6670" max="6670" width="9.5703125" style="1" customWidth="1"/>
    <col min="6671" max="6671" width="8.85546875" style="1" customWidth="1"/>
    <col min="6672" max="6672" width="8.42578125" style="1" customWidth="1"/>
    <col min="6673" max="6913" width="9.28515625" style="1"/>
    <col min="6914" max="6914" width="8.5703125" style="1" customWidth="1"/>
    <col min="6915" max="6915" width="7.140625" style="1" customWidth="1"/>
    <col min="6916" max="6916" width="42.140625" style="1" customWidth="1"/>
    <col min="6917" max="6918" width="9.140625" style="1" customWidth="1"/>
    <col min="6919" max="6919" width="8.7109375" style="1" customWidth="1"/>
    <col min="6920" max="6921" width="8.42578125" style="1" customWidth="1"/>
    <col min="6922" max="6922" width="8.28515625" style="1" customWidth="1"/>
    <col min="6923" max="6923" width="11.28515625" style="1" customWidth="1"/>
    <col min="6924" max="6924" width="8.5703125" style="1" customWidth="1"/>
    <col min="6925" max="6925" width="9.28515625" style="1" customWidth="1"/>
    <col min="6926" max="6926" width="9.5703125" style="1" customWidth="1"/>
    <col min="6927" max="6927" width="8.85546875" style="1" customWidth="1"/>
    <col min="6928" max="6928" width="8.42578125" style="1" customWidth="1"/>
    <col min="6929" max="7169" width="9.28515625" style="1"/>
    <col min="7170" max="7170" width="8.5703125" style="1" customWidth="1"/>
    <col min="7171" max="7171" width="7.140625" style="1" customWidth="1"/>
    <col min="7172" max="7172" width="42.140625" style="1" customWidth="1"/>
    <col min="7173" max="7174" width="9.140625" style="1" customWidth="1"/>
    <col min="7175" max="7175" width="8.7109375" style="1" customWidth="1"/>
    <col min="7176" max="7177" width="8.42578125" style="1" customWidth="1"/>
    <col min="7178" max="7178" width="8.28515625" style="1" customWidth="1"/>
    <col min="7179" max="7179" width="11.28515625" style="1" customWidth="1"/>
    <col min="7180" max="7180" width="8.5703125" style="1" customWidth="1"/>
    <col min="7181" max="7181" width="9.28515625" style="1" customWidth="1"/>
    <col min="7182" max="7182" width="9.5703125" style="1" customWidth="1"/>
    <col min="7183" max="7183" width="8.85546875" style="1" customWidth="1"/>
    <col min="7184" max="7184" width="8.42578125" style="1" customWidth="1"/>
    <col min="7185" max="7425" width="9.28515625" style="1"/>
    <col min="7426" max="7426" width="8.5703125" style="1" customWidth="1"/>
    <col min="7427" max="7427" width="7.140625" style="1" customWidth="1"/>
    <col min="7428" max="7428" width="42.140625" style="1" customWidth="1"/>
    <col min="7429" max="7430" width="9.140625" style="1" customWidth="1"/>
    <col min="7431" max="7431" width="8.7109375" style="1" customWidth="1"/>
    <col min="7432" max="7433" width="8.42578125" style="1" customWidth="1"/>
    <col min="7434" max="7434" width="8.28515625" style="1" customWidth="1"/>
    <col min="7435" max="7435" width="11.28515625" style="1" customWidth="1"/>
    <col min="7436" max="7436" width="8.5703125" style="1" customWidth="1"/>
    <col min="7437" max="7437" width="9.28515625" style="1" customWidth="1"/>
    <col min="7438" max="7438" width="9.5703125" style="1" customWidth="1"/>
    <col min="7439" max="7439" width="8.85546875" style="1" customWidth="1"/>
    <col min="7440" max="7440" width="8.42578125" style="1" customWidth="1"/>
    <col min="7441" max="7681" width="9.28515625" style="1"/>
    <col min="7682" max="7682" width="8.5703125" style="1" customWidth="1"/>
    <col min="7683" max="7683" width="7.140625" style="1" customWidth="1"/>
    <col min="7684" max="7684" width="42.140625" style="1" customWidth="1"/>
    <col min="7685" max="7686" width="9.140625" style="1" customWidth="1"/>
    <col min="7687" max="7687" width="8.7109375" style="1" customWidth="1"/>
    <col min="7688" max="7689" width="8.42578125" style="1" customWidth="1"/>
    <col min="7690" max="7690" width="8.28515625" style="1" customWidth="1"/>
    <col min="7691" max="7691" width="11.28515625" style="1" customWidth="1"/>
    <col min="7692" max="7692" width="8.5703125" style="1" customWidth="1"/>
    <col min="7693" max="7693" width="9.28515625" style="1" customWidth="1"/>
    <col min="7694" max="7694" width="9.5703125" style="1" customWidth="1"/>
    <col min="7695" max="7695" width="8.85546875" style="1" customWidth="1"/>
    <col min="7696" max="7696" width="8.42578125" style="1" customWidth="1"/>
    <col min="7697" max="7937" width="9.28515625" style="1"/>
    <col min="7938" max="7938" width="8.5703125" style="1" customWidth="1"/>
    <col min="7939" max="7939" width="7.140625" style="1" customWidth="1"/>
    <col min="7940" max="7940" width="42.140625" style="1" customWidth="1"/>
    <col min="7941" max="7942" width="9.140625" style="1" customWidth="1"/>
    <col min="7943" max="7943" width="8.7109375" style="1" customWidth="1"/>
    <col min="7944" max="7945" width="8.42578125" style="1" customWidth="1"/>
    <col min="7946" max="7946" width="8.28515625" style="1" customWidth="1"/>
    <col min="7947" max="7947" width="11.28515625" style="1" customWidth="1"/>
    <col min="7948" max="7948" width="8.5703125" style="1" customWidth="1"/>
    <col min="7949" max="7949" width="9.28515625" style="1" customWidth="1"/>
    <col min="7950" max="7950" width="9.5703125" style="1" customWidth="1"/>
    <col min="7951" max="7951" width="8.85546875" style="1" customWidth="1"/>
    <col min="7952" max="7952" width="8.42578125" style="1" customWidth="1"/>
    <col min="7953" max="8193" width="9.28515625" style="1"/>
    <col min="8194" max="8194" width="8.5703125" style="1" customWidth="1"/>
    <col min="8195" max="8195" width="7.140625" style="1" customWidth="1"/>
    <col min="8196" max="8196" width="42.140625" style="1" customWidth="1"/>
    <col min="8197" max="8198" width="9.140625" style="1" customWidth="1"/>
    <col min="8199" max="8199" width="8.7109375" style="1" customWidth="1"/>
    <col min="8200" max="8201" width="8.42578125" style="1" customWidth="1"/>
    <col min="8202" max="8202" width="8.28515625" style="1" customWidth="1"/>
    <col min="8203" max="8203" width="11.28515625" style="1" customWidth="1"/>
    <col min="8204" max="8204" width="8.5703125" style="1" customWidth="1"/>
    <col min="8205" max="8205" width="9.28515625" style="1" customWidth="1"/>
    <col min="8206" max="8206" width="9.5703125" style="1" customWidth="1"/>
    <col min="8207" max="8207" width="8.85546875" style="1" customWidth="1"/>
    <col min="8208" max="8208" width="8.42578125" style="1" customWidth="1"/>
    <col min="8209" max="8449" width="9.28515625" style="1"/>
    <col min="8450" max="8450" width="8.5703125" style="1" customWidth="1"/>
    <col min="8451" max="8451" width="7.140625" style="1" customWidth="1"/>
    <col min="8452" max="8452" width="42.140625" style="1" customWidth="1"/>
    <col min="8453" max="8454" width="9.140625" style="1" customWidth="1"/>
    <col min="8455" max="8455" width="8.7109375" style="1" customWidth="1"/>
    <col min="8456" max="8457" width="8.42578125" style="1" customWidth="1"/>
    <col min="8458" max="8458" width="8.28515625" style="1" customWidth="1"/>
    <col min="8459" max="8459" width="11.28515625" style="1" customWidth="1"/>
    <col min="8460" max="8460" width="8.5703125" style="1" customWidth="1"/>
    <col min="8461" max="8461" width="9.28515625" style="1" customWidth="1"/>
    <col min="8462" max="8462" width="9.5703125" style="1" customWidth="1"/>
    <col min="8463" max="8463" width="8.85546875" style="1" customWidth="1"/>
    <col min="8464" max="8464" width="8.42578125" style="1" customWidth="1"/>
    <col min="8465" max="8705" width="9.28515625" style="1"/>
    <col min="8706" max="8706" width="8.5703125" style="1" customWidth="1"/>
    <col min="8707" max="8707" width="7.140625" style="1" customWidth="1"/>
    <col min="8708" max="8708" width="42.140625" style="1" customWidth="1"/>
    <col min="8709" max="8710" width="9.140625" style="1" customWidth="1"/>
    <col min="8711" max="8711" width="8.7109375" style="1" customWidth="1"/>
    <col min="8712" max="8713" width="8.42578125" style="1" customWidth="1"/>
    <col min="8714" max="8714" width="8.28515625" style="1" customWidth="1"/>
    <col min="8715" max="8715" width="11.28515625" style="1" customWidth="1"/>
    <col min="8716" max="8716" width="8.5703125" style="1" customWidth="1"/>
    <col min="8717" max="8717" width="9.28515625" style="1" customWidth="1"/>
    <col min="8718" max="8718" width="9.5703125" style="1" customWidth="1"/>
    <col min="8719" max="8719" width="8.85546875" style="1" customWidth="1"/>
    <col min="8720" max="8720" width="8.42578125" style="1" customWidth="1"/>
    <col min="8721" max="8961" width="9.28515625" style="1"/>
    <col min="8962" max="8962" width="8.5703125" style="1" customWidth="1"/>
    <col min="8963" max="8963" width="7.140625" style="1" customWidth="1"/>
    <col min="8964" max="8964" width="42.140625" style="1" customWidth="1"/>
    <col min="8965" max="8966" width="9.140625" style="1" customWidth="1"/>
    <col min="8967" max="8967" width="8.7109375" style="1" customWidth="1"/>
    <col min="8968" max="8969" width="8.42578125" style="1" customWidth="1"/>
    <col min="8970" max="8970" width="8.28515625" style="1" customWidth="1"/>
    <col min="8971" max="8971" width="11.28515625" style="1" customWidth="1"/>
    <col min="8972" max="8972" width="8.5703125" style="1" customWidth="1"/>
    <col min="8973" max="8973" width="9.28515625" style="1" customWidth="1"/>
    <col min="8974" max="8974" width="9.5703125" style="1" customWidth="1"/>
    <col min="8975" max="8975" width="8.85546875" style="1" customWidth="1"/>
    <col min="8976" max="8976" width="8.42578125" style="1" customWidth="1"/>
    <col min="8977" max="9217" width="9.28515625" style="1"/>
    <col min="9218" max="9218" width="8.5703125" style="1" customWidth="1"/>
    <col min="9219" max="9219" width="7.140625" style="1" customWidth="1"/>
    <col min="9220" max="9220" width="42.140625" style="1" customWidth="1"/>
    <col min="9221" max="9222" width="9.140625" style="1" customWidth="1"/>
    <col min="9223" max="9223" width="8.7109375" style="1" customWidth="1"/>
    <col min="9224" max="9225" width="8.42578125" style="1" customWidth="1"/>
    <col min="9226" max="9226" width="8.28515625" style="1" customWidth="1"/>
    <col min="9227" max="9227" width="11.28515625" style="1" customWidth="1"/>
    <col min="9228" max="9228" width="8.5703125" style="1" customWidth="1"/>
    <col min="9229" max="9229" width="9.28515625" style="1" customWidth="1"/>
    <col min="9230" max="9230" width="9.5703125" style="1" customWidth="1"/>
    <col min="9231" max="9231" width="8.85546875" style="1" customWidth="1"/>
    <col min="9232" max="9232" width="8.42578125" style="1" customWidth="1"/>
    <col min="9233" max="9473" width="9.28515625" style="1"/>
    <col min="9474" max="9474" width="8.5703125" style="1" customWidth="1"/>
    <col min="9475" max="9475" width="7.140625" style="1" customWidth="1"/>
    <col min="9476" max="9476" width="42.140625" style="1" customWidth="1"/>
    <col min="9477" max="9478" width="9.140625" style="1" customWidth="1"/>
    <col min="9479" max="9479" width="8.7109375" style="1" customWidth="1"/>
    <col min="9480" max="9481" width="8.42578125" style="1" customWidth="1"/>
    <col min="9482" max="9482" width="8.28515625" style="1" customWidth="1"/>
    <col min="9483" max="9483" width="11.28515625" style="1" customWidth="1"/>
    <col min="9484" max="9484" width="8.5703125" style="1" customWidth="1"/>
    <col min="9485" max="9485" width="9.28515625" style="1" customWidth="1"/>
    <col min="9486" max="9486" width="9.5703125" style="1" customWidth="1"/>
    <col min="9487" max="9487" width="8.85546875" style="1" customWidth="1"/>
    <col min="9488" max="9488" width="8.42578125" style="1" customWidth="1"/>
    <col min="9489" max="9729" width="9.28515625" style="1"/>
    <col min="9730" max="9730" width="8.5703125" style="1" customWidth="1"/>
    <col min="9731" max="9731" width="7.140625" style="1" customWidth="1"/>
    <col min="9732" max="9732" width="42.140625" style="1" customWidth="1"/>
    <col min="9733" max="9734" width="9.140625" style="1" customWidth="1"/>
    <col min="9735" max="9735" width="8.7109375" style="1" customWidth="1"/>
    <col min="9736" max="9737" width="8.42578125" style="1" customWidth="1"/>
    <col min="9738" max="9738" width="8.28515625" style="1" customWidth="1"/>
    <col min="9739" max="9739" width="11.28515625" style="1" customWidth="1"/>
    <col min="9740" max="9740" width="8.5703125" style="1" customWidth="1"/>
    <col min="9741" max="9741" width="9.28515625" style="1" customWidth="1"/>
    <col min="9742" max="9742" width="9.5703125" style="1" customWidth="1"/>
    <col min="9743" max="9743" width="8.85546875" style="1" customWidth="1"/>
    <col min="9744" max="9744" width="8.42578125" style="1" customWidth="1"/>
    <col min="9745" max="9985" width="9.28515625" style="1"/>
    <col min="9986" max="9986" width="8.5703125" style="1" customWidth="1"/>
    <col min="9987" max="9987" width="7.140625" style="1" customWidth="1"/>
    <col min="9988" max="9988" width="42.140625" style="1" customWidth="1"/>
    <col min="9989" max="9990" width="9.140625" style="1" customWidth="1"/>
    <col min="9991" max="9991" width="8.7109375" style="1" customWidth="1"/>
    <col min="9992" max="9993" width="8.42578125" style="1" customWidth="1"/>
    <col min="9994" max="9994" width="8.28515625" style="1" customWidth="1"/>
    <col min="9995" max="9995" width="11.28515625" style="1" customWidth="1"/>
    <col min="9996" max="9996" width="8.5703125" style="1" customWidth="1"/>
    <col min="9997" max="9997" width="9.28515625" style="1" customWidth="1"/>
    <col min="9998" max="9998" width="9.5703125" style="1" customWidth="1"/>
    <col min="9999" max="9999" width="8.85546875" style="1" customWidth="1"/>
    <col min="10000" max="10000" width="8.42578125" style="1" customWidth="1"/>
    <col min="10001" max="10241" width="9.28515625" style="1"/>
    <col min="10242" max="10242" width="8.5703125" style="1" customWidth="1"/>
    <col min="10243" max="10243" width="7.140625" style="1" customWidth="1"/>
    <col min="10244" max="10244" width="42.140625" style="1" customWidth="1"/>
    <col min="10245" max="10246" width="9.140625" style="1" customWidth="1"/>
    <col min="10247" max="10247" width="8.7109375" style="1" customWidth="1"/>
    <col min="10248" max="10249" width="8.42578125" style="1" customWidth="1"/>
    <col min="10250" max="10250" width="8.28515625" style="1" customWidth="1"/>
    <col min="10251" max="10251" width="11.28515625" style="1" customWidth="1"/>
    <col min="10252" max="10252" width="8.5703125" style="1" customWidth="1"/>
    <col min="10253" max="10253" width="9.28515625" style="1" customWidth="1"/>
    <col min="10254" max="10254" width="9.5703125" style="1" customWidth="1"/>
    <col min="10255" max="10255" width="8.85546875" style="1" customWidth="1"/>
    <col min="10256" max="10256" width="8.42578125" style="1" customWidth="1"/>
    <col min="10257" max="10497" width="9.28515625" style="1"/>
    <col min="10498" max="10498" width="8.5703125" style="1" customWidth="1"/>
    <col min="10499" max="10499" width="7.140625" style="1" customWidth="1"/>
    <col min="10500" max="10500" width="42.140625" style="1" customWidth="1"/>
    <col min="10501" max="10502" width="9.140625" style="1" customWidth="1"/>
    <col min="10503" max="10503" width="8.7109375" style="1" customWidth="1"/>
    <col min="10504" max="10505" width="8.42578125" style="1" customWidth="1"/>
    <col min="10506" max="10506" width="8.28515625" style="1" customWidth="1"/>
    <col min="10507" max="10507" width="11.28515625" style="1" customWidth="1"/>
    <col min="10508" max="10508" width="8.5703125" style="1" customWidth="1"/>
    <col min="10509" max="10509" width="9.28515625" style="1" customWidth="1"/>
    <col min="10510" max="10510" width="9.5703125" style="1" customWidth="1"/>
    <col min="10511" max="10511" width="8.85546875" style="1" customWidth="1"/>
    <col min="10512" max="10512" width="8.42578125" style="1" customWidth="1"/>
    <col min="10513" max="10753" width="9.28515625" style="1"/>
    <col min="10754" max="10754" width="8.5703125" style="1" customWidth="1"/>
    <col min="10755" max="10755" width="7.140625" style="1" customWidth="1"/>
    <col min="10756" max="10756" width="42.140625" style="1" customWidth="1"/>
    <col min="10757" max="10758" width="9.140625" style="1" customWidth="1"/>
    <col min="10759" max="10759" width="8.7109375" style="1" customWidth="1"/>
    <col min="10760" max="10761" width="8.42578125" style="1" customWidth="1"/>
    <col min="10762" max="10762" width="8.28515625" style="1" customWidth="1"/>
    <col min="10763" max="10763" width="11.28515625" style="1" customWidth="1"/>
    <col min="10764" max="10764" width="8.5703125" style="1" customWidth="1"/>
    <col min="10765" max="10765" width="9.28515625" style="1" customWidth="1"/>
    <col min="10766" max="10766" width="9.5703125" style="1" customWidth="1"/>
    <col min="10767" max="10767" width="8.85546875" style="1" customWidth="1"/>
    <col min="10768" max="10768" width="8.42578125" style="1" customWidth="1"/>
    <col min="10769" max="11009" width="9.28515625" style="1"/>
    <col min="11010" max="11010" width="8.5703125" style="1" customWidth="1"/>
    <col min="11011" max="11011" width="7.140625" style="1" customWidth="1"/>
    <col min="11012" max="11012" width="42.140625" style="1" customWidth="1"/>
    <col min="11013" max="11014" width="9.140625" style="1" customWidth="1"/>
    <col min="11015" max="11015" width="8.7109375" style="1" customWidth="1"/>
    <col min="11016" max="11017" width="8.42578125" style="1" customWidth="1"/>
    <col min="11018" max="11018" width="8.28515625" style="1" customWidth="1"/>
    <col min="11019" max="11019" width="11.28515625" style="1" customWidth="1"/>
    <col min="11020" max="11020" width="8.5703125" style="1" customWidth="1"/>
    <col min="11021" max="11021" width="9.28515625" style="1" customWidth="1"/>
    <col min="11022" max="11022" width="9.5703125" style="1" customWidth="1"/>
    <col min="11023" max="11023" width="8.85546875" style="1" customWidth="1"/>
    <col min="11024" max="11024" width="8.42578125" style="1" customWidth="1"/>
    <col min="11025" max="11265" width="9.28515625" style="1"/>
    <col min="11266" max="11266" width="8.5703125" style="1" customWidth="1"/>
    <col min="11267" max="11267" width="7.140625" style="1" customWidth="1"/>
    <col min="11268" max="11268" width="42.140625" style="1" customWidth="1"/>
    <col min="11269" max="11270" width="9.140625" style="1" customWidth="1"/>
    <col min="11271" max="11271" width="8.7109375" style="1" customWidth="1"/>
    <col min="11272" max="11273" width="8.42578125" style="1" customWidth="1"/>
    <col min="11274" max="11274" width="8.28515625" style="1" customWidth="1"/>
    <col min="11275" max="11275" width="11.28515625" style="1" customWidth="1"/>
    <col min="11276" max="11276" width="8.5703125" style="1" customWidth="1"/>
    <col min="11277" max="11277" width="9.28515625" style="1" customWidth="1"/>
    <col min="11278" max="11278" width="9.5703125" style="1" customWidth="1"/>
    <col min="11279" max="11279" width="8.85546875" style="1" customWidth="1"/>
    <col min="11280" max="11280" width="8.42578125" style="1" customWidth="1"/>
    <col min="11281" max="11521" width="9.28515625" style="1"/>
    <col min="11522" max="11522" width="8.5703125" style="1" customWidth="1"/>
    <col min="11523" max="11523" width="7.140625" style="1" customWidth="1"/>
    <col min="11524" max="11524" width="42.140625" style="1" customWidth="1"/>
    <col min="11525" max="11526" width="9.140625" style="1" customWidth="1"/>
    <col min="11527" max="11527" width="8.7109375" style="1" customWidth="1"/>
    <col min="11528" max="11529" width="8.42578125" style="1" customWidth="1"/>
    <col min="11530" max="11530" width="8.28515625" style="1" customWidth="1"/>
    <col min="11531" max="11531" width="11.28515625" style="1" customWidth="1"/>
    <col min="11532" max="11532" width="8.5703125" style="1" customWidth="1"/>
    <col min="11533" max="11533" width="9.28515625" style="1" customWidth="1"/>
    <col min="11534" max="11534" width="9.5703125" style="1" customWidth="1"/>
    <col min="11535" max="11535" width="8.85546875" style="1" customWidth="1"/>
    <col min="11536" max="11536" width="8.42578125" style="1" customWidth="1"/>
    <col min="11537" max="11777" width="9.28515625" style="1"/>
    <col min="11778" max="11778" width="8.5703125" style="1" customWidth="1"/>
    <col min="11779" max="11779" width="7.140625" style="1" customWidth="1"/>
    <col min="11780" max="11780" width="42.140625" style="1" customWidth="1"/>
    <col min="11781" max="11782" width="9.140625" style="1" customWidth="1"/>
    <col min="11783" max="11783" width="8.7109375" style="1" customWidth="1"/>
    <col min="11784" max="11785" width="8.42578125" style="1" customWidth="1"/>
    <col min="11786" max="11786" width="8.28515625" style="1" customWidth="1"/>
    <col min="11787" max="11787" width="11.28515625" style="1" customWidth="1"/>
    <col min="11788" max="11788" width="8.5703125" style="1" customWidth="1"/>
    <col min="11789" max="11789" width="9.28515625" style="1" customWidth="1"/>
    <col min="11790" max="11790" width="9.5703125" style="1" customWidth="1"/>
    <col min="11791" max="11791" width="8.85546875" style="1" customWidth="1"/>
    <col min="11792" max="11792" width="8.42578125" style="1" customWidth="1"/>
    <col min="11793" max="12033" width="9.28515625" style="1"/>
    <col min="12034" max="12034" width="8.5703125" style="1" customWidth="1"/>
    <col min="12035" max="12035" width="7.140625" style="1" customWidth="1"/>
    <col min="12036" max="12036" width="42.140625" style="1" customWidth="1"/>
    <col min="12037" max="12038" width="9.140625" style="1" customWidth="1"/>
    <col min="12039" max="12039" width="8.7109375" style="1" customWidth="1"/>
    <col min="12040" max="12041" width="8.42578125" style="1" customWidth="1"/>
    <col min="12042" max="12042" width="8.28515625" style="1" customWidth="1"/>
    <col min="12043" max="12043" width="11.28515625" style="1" customWidth="1"/>
    <col min="12044" max="12044" width="8.5703125" style="1" customWidth="1"/>
    <col min="12045" max="12045" width="9.28515625" style="1" customWidth="1"/>
    <col min="12046" max="12046" width="9.5703125" style="1" customWidth="1"/>
    <col min="12047" max="12047" width="8.85546875" style="1" customWidth="1"/>
    <col min="12048" max="12048" width="8.42578125" style="1" customWidth="1"/>
    <col min="12049" max="12289" width="9.28515625" style="1"/>
    <col min="12290" max="12290" width="8.5703125" style="1" customWidth="1"/>
    <col min="12291" max="12291" width="7.140625" style="1" customWidth="1"/>
    <col min="12292" max="12292" width="42.140625" style="1" customWidth="1"/>
    <col min="12293" max="12294" width="9.140625" style="1" customWidth="1"/>
    <col min="12295" max="12295" width="8.7109375" style="1" customWidth="1"/>
    <col min="12296" max="12297" width="8.42578125" style="1" customWidth="1"/>
    <col min="12298" max="12298" width="8.28515625" style="1" customWidth="1"/>
    <col min="12299" max="12299" width="11.28515625" style="1" customWidth="1"/>
    <col min="12300" max="12300" width="8.5703125" style="1" customWidth="1"/>
    <col min="12301" max="12301" width="9.28515625" style="1" customWidth="1"/>
    <col min="12302" max="12302" width="9.5703125" style="1" customWidth="1"/>
    <col min="12303" max="12303" width="8.85546875" style="1" customWidth="1"/>
    <col min="12304" max="12304" width="8.42578125" style="1" customWidth="1"/>
    <col min="12305" max="12545" width="9.28515625" style="1"/>
    <col min="12546" max="12546" width="8.5703125" style="1" customWidth="1"/>
    <col min="12547" max="12547" width="7.140625" style="1" customWidth="1"/>
    <col min="12548" max="12548" width="42.140625" style="1" customWidth="1"/>
    <col min="12549" max="12550" width="9.140625" style="1" customWidth="1"/>
    <col min="12551" max="12551" width="8.7109375" style="1" customWidth="1"/>
    <col min="12552" max="12553" width="8.42578125" style="1" customWidth="1"/>
    <col min="12554" max="12554" width="8.28515625" style="1" customWidth="1"/>
    <col min="12555" max="12555" width="11.28515625" style="1" customWidth="1"/>
    <col min="12556" max="12556" width="8.5703125" style="1" customWidth="1"/>
    <col min="12557" max="12557" width="9.28515625" style="1" customWidth="1"/>
    <col min="12558" max="12558" width="9.5703125" style="1" customWidth="1"/>
    <col min="12559" max="12559" width="8.85546875" style="1" customWidth="1"/>
    <col min="12560" max="12560" width="8.42578125" style="1" customWidth="1"/>
    <col min="12561" max="12801" width="9.28515625" style="1"/>
    <col min="12802" max="12802" width="8.5703125" style="1" customWidth="1"/>
    <col min="12803" max="12803" width="7.140625" style="1" customWidth="1"/>
    <col min="12804" max="12804" width="42.140625" style="1" customWidth="1"/>
    <col min="12805" max="12806" width="9.140625" style="1" customWidth="1"/>
    <col min="12807" max="12807" width="8.7109375" style="1" customWidth="1"/>
    <col min="12808" max="12809" width="8.42578125" style="1" customWidth="1"/>
    <col min="12810" max="12810" width="8.28515625" style="1" customWidth="1"/>
    <col min="12811" max="12811" width="11.28515625" style="1" customWidth="1"/>
    <col min="12812" max="12812" width="8.5703125" style="1" customWidth="1"/>
    <col min="12813" max="12813" width="9.28515625" style="1" customWidth="1"/>
    <col min="12814" max="12814" width="9.5703125" style="1" customWidth="1"/>
    <col min="12815" max="12815" width="8.85546875" style="1" customWidth="1"/>
    <col min="12816" max="12816" width="8.42578125" style="1" customWidth="1"/>
    <col min="12817" max="13057" width="9.28515625" style="1"/>
    <col min="13058" max="13058" width="8.5703125" style="1" customWidth="1"/>
    <col min="13059" max="13059" width="7.140625" style="1" customWidth="1"/>
    <col min="13060" max="13060" width="42.140625" style="1" customWidth="1"/>
    <col min="13061" max="13062" width="9.140625" style="1" customWidth="1"/>
    <col min="13063" max="13063" width="8.7109375" style="1" customWidth="1"/>
    <col min="13064" max="13065" width="8.42578125" style="1" customWidth="1"/>
    <col min="13066" max="13066" width="8.28515625" style="1" customWidth="1"/>
    <col min="13067" max="13067" width="11.28515625" style="1" customWidth="1"/>
    <col min="13068" max="13068" width="8.5703125" style="1" customWidth="1"/>
    <col min="13069" max="13069" width="9.28515625" style="1" customWidth="1"/>
    <col min="13070" max="13070" width="9.5703125" style="1" customWidth="1"/>
    <col min="13071" max="13071" width="8.85546875" style="1" customWidth="1"/>
    <col min="13072" max="13072" width="8.42578125" style="1" customWidth="1"/>
    <col min="13073" max="13313" width="9.28515625" style="1"/>
    <col min="13314" max="13314" width="8.5703125" style="1" customWidth="1"/>
    <col min="13315" max="13315" width="7.140625" style="1" customWidth="1"/>
    <col min="13316" max="13316" width="42.140625" style="1" customWidth="1"/>
    <col min="13317" max="13318" width="9.140625" style="1" customWidth="1"/>
    <col min="13319" max="13319" width="8.7109375" style="1" customWidth="1"/>
    <col min="13320" max="13321" width="8.42578125" style="1" customWidth="1"/>
    <col min="13322" max="13322" width="8.28515625" style="1" customWidth="1"/>
    <col min="13323" max="13323" width="11.28515625" style="1" customWidth="1"/>
    <col min="13324" max="13324" width="8.5703125" style="1" customWidth="1"/>
    <col min="13325" max="13325" width="9.28515625" style="1" customWidth="1"/>
    <col min="13326" max="13326" width="9.5703125" style="1" customWidth="1"/>
    <col min="13327" max="13327" width="8.85546875" style="1" customWidth="1"/>
    <col min="13328" max="13328" width="8.42578125" style="1" customWidth="1"/>
    <col min="13329" max="13569" width="9.28515625" style="1"/>
    <col min="13570" max="13570" width="8.5703125" style="1" customWidth="1"/>
    <col min="13571" max="13571" width="7.140625" style="1" customWidth="1"/>
    <col min="13572" max="13572" width="42.140625" style="1" customWidth="1"/>
    <col min="13573" max="13574" width="9.140625" style="1" customWidth="1"/>
    <col min="13575" max="13575" width="8.7109375" style="1" customWidth="1"/>
    <col min="13576" max="13577" width="8.42578125" style="1" customWidth="1"/>
    <col min="13578" max="13578" width="8.28515625" style="1" customWidth="1"/>
    <col min="13579" max="13579" width="11.28515625" style="1" customWidth="1"/>
    <col min="13580" max="13580" width="8.5703125" style="1" customWidth="1"/>
    <col min="13581" max="13581" width="9.28515625" style="1" customWidth="1"/>
    <col min="13582" max="13582" width="9.5703125" style="1" customWidth="1"/>
    <col min="13583" max="13583" width="8.85546875" style="1" customWidth="1"/>
    <col min="13584" max="13584" width="8.42578125" style="1" customWidth="1"/>
    <col min="13585" max="13825" width="9.28515625" style="1"/>
    <col min="13826" max="13826" width="8.5703125" style="1" customWidth="1"/>
    <col min="13827" max="13827" width="7.140625" style="1" customWidth="1"/>
    <col min="13828" max="13828" width="42.140625" style="1" customWidth="1"/>
    <col min="13829" max="13830" width="9.140625" style="1" customWidth="1"/>
    <col min="13831" max="13831" width="8.7109375" style="1" customWidth="1"/>
    <col min="13832" max="13833" width="8.42578125" style="1" customWidth="1"/>
    <col min="13834" max="13834" width="8.28515625" style="1" customWidth="1"/>
    <col min="13835" max="13835" width="11.28515625" style="1" customWidth="1"/>
    <col min="13836" max="13836" width="8.5703125" style="1" customWidth="1"/>
    <col min="13837" max="13837" width="9.28515625" style="1" customWidth="1"/>
    <col min="13838" max="13838" width="9.5703125" style="1" customWidth="1"/>
    <col min="13839" max="13839" width="8.85546875" style="1" customWidth="1"/>
    <col min="13840" max="13840" width="8.42578125" style="1" customWidth="1"/>
    <col min="13841" max="14081" width="9.28515625" style="1"/>
    <col min="14082" max="14082" width="8.5703125" style="1" customWidth="1"/>
    <col min="14083" max="14083" width="7.140625" style="1" customWidth="1"/>
    <col min="14084" max="14084" width="42.140625" style="1" customWidth="1"/>
    <col min="14085" max="14086" width="9.140625" style="1" customWidth="1"/>
    <col min="14087" max="14087" width="8.7109375" style="1" customWidth="1"/>
    <col min="14088" max="14089" width="8.42578125" style="1" customWidth="1"/>
    <col min="14090" max="14090" width="8.28515625" style="1" customWidth="1"/>
    <col min="14091" max="14091" width="11.28515625" style="1" customWidth="1"/>
    <col min="14092" max="14092" width="8.5703125" style="1" customWidth="1"/>
    <col min="14093" max="14093" width="9.28515625" style="1" customWidth="1"/>
    <col min="14094" max="14094" width="9.5703125" style="1" customWidth="1"/>
    <col min="14095" max="14095" width="8.85546875" style="1" customWidth="1"/>
    <col min="14096" max="14096" width="8.42578125" style="1" customWidth="1"/>
    <col min="14097" max="14337" width="9.28515625" style="1"/>
    <col min="14338" max="14338" width="8.5703125" style="1" customWidth="1"/>
    <col min="14339" max="14339" width="7.140625" style="1" customWidth="1"/>
    <col min="14340" max="14340" width="42.140625" style="1" customWidth="1"/>
    <col min="14341" max="14342" width="9.140625" style="1" customWidth="1"/>
    <col min="14343" max="14343" width="8.7109375" style="1" customWidth="1"/>
    <col min="14344" max="14345" width="8.42578125" style="1" customWidth="1"/>
    <col min="14346" max="14346" width="8.28515625" style="1" customWidth="1"/>
    <col min="14347" max="14347" width="11.28515625" style="1" customWidth="1"/>
    <col min="14348" max="14348" width="8.5703125" style="1" customWidth="1"/>
    <col min="14349" max="14349" width="9.28515625" style="1" customWidth="1"/>
    <col min="14350" max="14350" width="9.5703125" style="1" customWidth="1"/>
    <col min="14351" max="14351" width="8.85546875" style="1" customWidth="1"/>
    <col min="14352" max="14352" width="8.42578125" style="1" customWidth="1"/>
    <col min="14353" max="14593" width="9.28515625" style="1"/>
    <col min="14594" max="14594" width="8.5703125" style="1" customWidth="1"/>
    <col min="14595" max="14595" width="7.140625" style="1" customWidth="1"/>
    <col min="14596" max="14596" width="42.140625" style="1" customWidth="1"/>
    <col min="14597" max="14598" width="9.140625" style="1" customWidth="1"/>
    <col min="14599" max="14599" width="8.7109375" style="1" customWidth="1"/>
    <col min="14600" max="14601" width="8.42578125" style="1" customWidth="1"/>
    <col min="14602" max="14602" width="8.28515625" style="1" customWidth="1"/>
    <col min="14603" max="14603" width="11.28515625" style="1" customWidth="1"/>
    <col min="14604" max="14604" width="8.5703125" style="1" customWidth="1"/>
    <col min="14605" max="14605" width="9.28515625" style="1" customWidth="1"/>
    <col min="14606" max="14606" width="9.5703125" style="1" customWidth="1"/>
    <col min="14607" max="14607" width="8.85546875" style="1" customWidth="1"/>
    <col min="14608" max="14608" width="8.42578125" style="1" customWidth="1"/>
    <col min="14609" max="14849" width="9.28515625" style="1"/>
    <col min="14850" max="14850" width="8.5703125" style="1" customWidth="1"/>
    <col min="14851" max="14851" width="7.140625" style="1" customWidth="1"/>
    <col min="14852" max="14852" width="42.140625" style="1" customWidth="1"/>
    <col min="14853" max="14854" width="9.140625" style="1" customWidth="1"/>
    <col min="14855" max="14855" width="8.7109375" style="1" customWidth="1"/>
    <col min="14856" max="14857" width="8.42578125" style="1" customWidth="1"/>
    <col min="14858" max="14858" width="8.28515625" style="1" customWidth="1"/>
    <col min="14859" max="14859" width="11.28515625" style="1" customWidth="1"/>
    <col min="14860" max="14860" width="8.5703125" style="1" customWidth="1"/>
    <col min="14861" max="14861" width="9.28515625" style="1" customWidth="1"/>
    <col min="14862" max="14862" width="9.5703125" style="1" customWidth="1"/>
    <col min="14863" max="14863" width="8.85546875" style="1" customWidth="1"/>
    <col min="14864" max="14864" width="8.42578125" style="1" customWidth="1"/>
    <col min="14865" max="15105" width="9.28515625" style="1"/>
    <col min="15106" max="15106" width="8.5703125" style="1" customWidth="1"/>
    <col min="15107" max="15107" width="7.140625" style="1" customWidth="1"/>
    <col min="15108" max="15108" width="42.140625" style="1" customWidth="1"/>
    <col min="15109" max="15110" width="9.140625" style="1" customWidth="1"/>
    <col min="15111" max="15111" width="8.7109375" style="1" customWidth="1"/>
    <col min="15112" max="15113" width="8.42578125" style="1" customWidth="1"/>
    <col min="15114" max="15114" width="8.28515625" style="1" customWidth="1"/>
    <col min="15115" max="15115" width="11.28515625" style="1" customWidth="1"/>
    <col min="15116" max="15116" width="8.5703125" style="1" customWidth="1"/>
    <col min="15117" max="15117" width="9.28515625" style="1" customWidth="1"/>
    <col min="15118" max="15118" width="9.5703125" style="1" customWidth="1"/>
    <col min="15119" max="15119" width="8.85546875" style="1" customWidth="1"/>
    <col min="15120" max="15120" width="8.42578125" style="1" customWidth="1"/>
    <col min="15121" max="15361" width="9.28515625" style="1"/>
    <col min="15362" max="15362" width="8.5703125" style="1" customWidth="1"/>
    <col min="15363" max="15363" width="7.140625" style="1" customWidth="1"/>
    <col min="15364" max="15364" width="42.140625" style="1" customWidth="1"/>
    <col min="15365" max="15366" width="9.140625" style="1" customWidth="1"/>
    <col min="15367" max="15367" width="8.7109375" style="1" customWidth="1"/>
    <col min="15368" max="15369" width="8.42578125" style="1" customWidth="1"/>
    <col min="15370" max="15370" width="8.28515625" style="1" customWidth="1"/>
    <col min="15371" max="15371" width="11.28515625" style="1" customWidth="1"/>
    <col min="15372" max="15372" width="8.5703125" style="1" customWidth="1"/>
    <col min="15373" max="15373" width="9.28515625" style="1" customWidth="1"/>
    <col min="15374" max="15374" width="9.5703125" style="1" customWidth="1"/>
    <col min="15375" max="15375" width="8.85546875" style="1" customWidth="1"/>
    <col min="15376" max="15376" width="8.42578125" style="1" customWidth="1"/>
    <col min="15377" max="15617" width="9.28515625" style="1"/>
    <col min="15618" max="15618" width="8.5703125" style="1" customWidth="1"/>
    <col min="15619" max="15619" width="7.140625" style="1" customWidth="1"/>
    <col min="15620" max="15620" width="42.140625" style="1" customWidth="1"/>
    <col min="15621" max="15622" width="9.140625" style="1" customWidth="1"/>
    <col min="15623" max="15623" width="8.7109375" style="1" customWidth="1"/>
    <col min="15624" max="15625" width="8.42578125" style="1" customWidth="1"/>
    <col min="15626" max="15626" width="8.28515625" style="1" customWidth="1"/>
    <col min="15627" max="15627" width="11.28515625" style="1" customWidth="1"/>
    <col min="15628" max="15628" width="8.5703125" style="1" customWidth="1"/>
    <col min="15629" max="15629" width="9.28515625" style="1" customWidth="1"/>
    <col min="15630" max="15630" width="9.5703125" style="1" customWidth="1"/>
    <col min="15631" max="15631" width="8.85546875" style="1" customWidth="1"/>
    <col min="15632" max="15632" width="8.42578125" style="1" customWidth="1"/>
    <col min="15633" max="15873" width="9.28515625" style="1"/>
    <col min="15874" max="15874" width="8.5703125" style="1" customWidth="1"/>
    <col min="15875" max="15875" width="7.140625" style="1" customWidth="1"/>
    <col min="15876" max="15876" width="42.140625" style="1" customWidth="1"/>
    <col min="15877" max="15878" width="9.140625" style="1" customWidth="1"/>
    <col min="15879" max="15879" width="8.7109375" style="1" customWidth="1"/>
    <col min="15880" max="15881" width="8.42578125" style="1" customWidth="1"/>
    <col min="15882" max="15882" width="8.28515625" style="1" customWidth="1"/>
    <col min="15883" max="15883" width="11.28515625" style="1" customWidth="1"/>
    <col min="15884" max="15884" width="8.5703125" style="1" customWidth="1"/>
    <col min="15885" max="15885" width="9.28515625" style="1" customWidth="1"/>
    <col min="15886" max="15886" width="9.5703125" style="1" customWidth="1"/>
    <col min="15887" max="15887" width="8.85546875" style="1" customWidth="1"/>
    <col min="15888" max="15888" width="8.42578125" style="1" customWidth="1"/>
    <col min="15889" max="16129" width="9.28515625" style="1"/>
    <col min="16130" max="16130" width="8.5703125" style="1" customWidth="1"/>
    <col min="16131" max="16131" width="7.140625" style="1" customWidth="1"/>
    <col min="16132" max="16132" width="42.140625" style="1" customWidth="1"/>
    <col min="16133" max="16134" width="9.140625" style="1" customWidth="1"/>
    <col min="16135" max="16135" width="8.7109375" style="1" customWidth="1"/>
    <col min="16136" max="16137" width="8.42578125" style="1" customWidth="1"/>
    <col min="16138" max="16138" width="8.28515625" style="1" customWidth="1"/>
    <col min="16139" max="16139" width="11.28515625" style="1" customWidth="1"/>
    <col min="16140" max="16140" width="8.5703125" style="1" customWidth="1"/>
    <col min="16141" max="16141" width="9.28515625" style="1" customWidth="1"/>
    <col min="16142" max="16142" width="9.5703125" style="1" customWidth="1"/>
    <col min="16143" max="16143" width="8.85546875" style="1" customWidth="1"/>
    <col min="16144" max="16144" width="8.42578125" style="1" customWidth="1"/>
    <col min="16145" max="16384" width="9.28515625" style="1"/>
  </cols>
  <sheetData>
    <row r="1" spans="1:16" x14ac:dyDescent="0.25">
      <c r="B1" s="167" t="s">
        <v>0</v>
      </c>
      <c r="F1" s="6"/>
      <c r="G1" s="6"/>
      <c r="H1" s="6"/>
      <c r="I1" s="6"/>
      <c r="N1" s="6" t="s">
        <v>361</v>
      </c>
    </row>
    <row r="2" spans="1:16" x14ac:dyDescent="0.25">
      <c r="A2" s="173" t="s">
        <v>762</v>
      </c>
      <c r="B2" s="173"/>
      <c r="C2" s="313"/>
      <c r="D2" s="802"/>
      <c r="F2" s="6"/>
      <c r="G2" s="6"/>
      <c r="H2" s="6"/>
      <c r="I2" s="6"/>
    </row>
    <row r="3" spans="1:16" x14ac:dyDescent="0.25">
      <c r="B3" s="118" t="s">
        <v>381</v>
      </c>
      <c r="F3" s="6"/>
      <c r="G3" s="6"/>
      <c r="H3" s="6"/>
      <c r="I3" s="6"/>
    </row>
    <row r="4" spans="1:16" s="11" customFormat="1" x14ac:dyDescent="0.25">
      <c r="A4" s="316" t="s">
        <v>763</v>
      </c>
      <c r="B4" s="317"/>
      <c r="C4" s="103" t="s">
        <v>254</v>
      </c>
      <c r="D4" s="103" t="s">
        <v>446</v>
      </c>
      <c r="E4" s="117" t="s">
        <v>255</v>
      </c>
      <c r="F4" s="117" t="s">
        <v>256</v>
      </c>
      <c r="G4" s="117" t="s">
        <v>737</v>
      </c>
      <c r="H4" s="117" t="s">
        <v>735</v>
      </c>
      <c r="I4" s="117" t="s">
        <v>257</v>
      </c>
      <c r="J4" s="117" t="s">
        <v>258</v>
      </c>
      <c r="K4" s="117" t="s">
        <v>259</v>
      </c>
      <c r="L4" s="117" t="s">
        <v>319</v>
      </c>
      <c r="M4" s="117" t="s">
        <v>695</v>
      </c>
      <c r="N4" s="117" t="s">
        <v>613</v>
      </c>
      <c r="O4" s="117" t="s">
        <v>615</v>
      </c>
      <c r="P4" s="117" t="s">
        <v>614</v>
      </c>
    </row>
    <row r="5" spans="1:16" s="8" customFormat="1" ht="105.75" thickBot="1" x14ac:dyDescent="0.3">
      <c r="B5" s="118"/>
      <c r="C5" s="119" t="s">
        <v>260</v>
      </c>
      <c r="D5" s="119" t="s">
        <v>447</v>
      </c>
      <c r="E5" s="119" t="s">
        <v>261</v>
      </c>
      <c r="F5" s="105" t="s">
        <v>262</v>
      </c>
      <c r="G5" s="105" t="s">
        <v>738</v>
      </c>
      <c r="H5" s="105" t="s">
        <v>736</v>
      </c>
      <c r="I5" s="186" t="s">
        <v>263</v>
      </c>
      <c r="J5" s="105" t="s">
        <v>264</v>
      </c>
      <c r="K5" s="105" t="s">
        <v>265</v>
      </c>
      <c r="L5" s="105" t="s">
        <v>320</v>
      </c>
      <c r="M5" s="105" t="s">
        <v>696</v>
      </c>
      <c r="N5" s="105" t="s">
        <v>266</v>
      </c>
      <c r="O5" s="105" t="s">
        <v>321</v>
      </c>
      <c r="P5" s="105" t="s">
        <v>267</v>
      </c>
    </row>
    <row r="6" spans="1:16" ht="32.25" customHeight="1" thickBot="1" x14ac:dyDescent="0.3">
      <c r="A6" s="318" t="s">
        <v>7</v>
      </c>
      <c r="B6" s="319" t="s">
        <v>10</v>
      </c>
      <c r="C6" s="59" t="s">
        <v>382</v>
      </c>
      <c r="D6" s="60" t="s">
        <v>382</v>
      </c>
      <c r="E6" s="60" t="s">
        <v>382</v>
      </c>
      <c r="F6" s="59" t="s">
        <v>382</v>
      </c>
      <c r="G6" s="59" t="s">
        <v>382</v>
      </c>
      <c r="H6" s="59" t="s">
        <v>382</v>
      </c>
      <c r="I6" s="60" t="s">
        <v>382</v>
      </c>
      <c r="J6" s="60" t="s">
        <v>382</v>
      </c>
      <c r="K6" s="60" t="s">
        <v>382</v>
      </c>
      <c r="L6" s="60" t="s">
        <v>382</v>
      </c>
      <c r="M6" s="60" t="s">
        <v>382</v>
      </c>
      <c r="N6" s="60" t="s">
        <v>382</v>
      </c>
      <c r="O6" s="60" t="s">
        <v>382</v>
      </c>
      <c r="P6" s="60" t="s">
        <v>382</v>
      </c>
    </row>
    <row r="7" spans="1:16" x14ac:dyDescent="0.25">
      <c r="A7" s="157">
        <v>1100</v>
      </c>
      <c r="B7" s="168" t="s">
        <v>11</v>
      </c>
      <c r="C7" s="1038">
        <v>76297</v>
      </c>
      <c r="D7" s="374">
        <v>14268</v>
      </c>
      <c r="E7" s="320"/>
      <c r="F7" s="176"/>
      <c r="G7" s="176"/>
      <c r="H7" s="176">
        <v>7321</v>
      </c>
      <c r="I7" s="176"/>
      <c r="J7" s="640"/>
      <c r="K7" s="321"/>
      <c r="L7" s="322"/>
      <c r="M7" s="322"/>
      <c r="N7" s="321"/>
      <c r="O7" s="408"/>
      <c r="P7" s="170"/>
    </row>
    <row r="8" spans="1:16" ht="32.25" customHeight="1" x14ac:dyDescent="0.25">
      <c r="A8" s="66">
        <v>1200</v>
      </c>
      <c r="B8" s="67" t="s">
        <v>12</v>
      </c>
      <c r="C8" s="1039">
        <v>23278</v>
      </c>
      <c r="D8" s="323">
        <v>4137</v>
      </c>
      <c r="E8" s="68"/>
      <c r="F8" s="107"/>
      <c r="G8" s="107"/>
      <c r="H8" s="107">
        <v>2174</v>
      </c>
      <c r="I8" s="68"/>
      <c r="J8" s="641"/>
      <c r="K8" s="76"/>
      <c r="L8" s="191"/>
      <c r="M8" s="191"/>
      <c r="N8" s="76"/>
      <c r="O8" s="76"/>
      <c r="P8" s="68"/>
    </row>
    <row r="9" spans="1:16" x14ac:dyDescent="0.25">
      <c r="A9" s="66">
        <v>2000</v>
      </c>
      <c r="B9" s="67" t="s">
        <v>13</v>
      </c>
      <c r="C9" s="68">
        <f>SUM(C10+C11+C12+C13+C14)</f>
        <v>83877</v>
      </c>
      <c r="D9" s="132">
        <f>SUM(D10+D11+D12+D13+D14)</f>
        <v>13470</v>
      </c>
      <c r="E9" s="139">
        <f t="shared" ref="E9:P9" si="0">SUM(E10+E11+E12+E13+E14)</f>
        <v>65263</v>
      </c>
      <c r="F9" s="107">
        <f t="shared" si="0"/>
        <v>97943</v>
      </c>
      <c r="G9" s="107">
        <f t="shared" si="0"/>
        <v>0</v>
      </c>
      <c r="H9" s="107">
        <f t="shared" si="0"/>
        <v>9395</v>
      </c>
      <c r="I9" s="139">
        <f t="shared" si="0"/>
        <v>21151</v>
      </c>
      <c r="J9" s="134">
        <f t="shared" si="0"/>
        <v>24300</v>
      </c>
      <c r="K9" s="107">
        <f t="shared" si="0"/>
        <v>0</v>
      </c>
      <c r="L9" s="107">
        <f t="shared" si="0"/>
        <v>0</v>
      </c>
      <c r="M9" s="107">
        <f t="shared" si="0"/>
        <v>3000</v>
      </c>
      <c r="N9" s="107">
        <f t="shared" si="0"/>
        <v>252427</v>
      </c>
      <c r="O9" s="139">
        <f t="shared" si="0"/>
        <v>906937</v>
      </c>
      <c r="P9" s="139">
        <f t="shared" si="0"/>
        <v>80000</v>
      </c>
    </row>
    <row r="10" spans="1:16" ht="20.25" customHeight="1" x14ac:dyDescent="0.25">
      <c r="A10" s="66">
        <v>2100</v>
      </c>
      <c r="B10" s="67" t="s">
        <v>268</v>
      </c>
      <c r="C10" s="1040">
        <v>1120</v>
      </c>
      <c r="D10" s="324"/>
      <c r="E10" s="107"/>
      <c r="F10" s="107"/>
      <c r="G10" s="107"/>
      <c r="H10" s="107"/>
      <c r="I10" s="107"/>
      <c r="J10" s="400"/>
      <c r="K10" s="133"/>
      <c r="L10" s="140"/>
      <c r="M10" s="140"/>
      <c r="N10" s="133"/>
      <c r="O10" s="133"/>
      <c r="P10" s="107"/>
    </row>
    <row r="11" spans="1:16" x14ac:dyDescent="0.25">
      <c r="A11" s="66">
        <v>2200</v>
      </c>
      <c r="B11" s="67" t="s">
        <v>15</v>
      </c>
      <c r="C11" s="1039">
        <v>65799</v>
      </c>
      <c r="D11" s="323">
        <v>9060</v>
      </c>
      <c r="E11" s="107">
        <f>53500+10263</f>
        <v>63763</v>
      </c>
      <c r="F11" s="107">
        <v>7000</v>
      </c>
      <c r="G11" s="107"/>
      <c r="H11" s="107">
        <v>8865</v>
      </c>
      <c r="I11" s="107">
        <v>18031</v>
      </c>
      <c r="J11" s="400">
        <v>24300</v>
      </c>
      <c r="K11" s="133"/>
      <c r="L11" s="140"/>
      <c r="M11" s="140">
        <v>3000</v>
      </c>
      <c r="N11" s="133"/>
      <c r="O11" s="133"/>
      <c r="P11" s="107">
        <v>80000</v>
      </c>
    </row>
    <row r="12" spans="1:16" s="12" customFormat="1" ht="30" x14ac:dyDescent="0.25">
      <c r="A12" s="66">
        <v>2300</v>
      </c>
      <c r="B12" s="67" t="s">
        <v>16</v>
      </c>
      <c r="C12" s="1040">
        <v>16958</v>
      </c>
      <c r="D12" s="324">
        <v>4410</v>
      </c>
      <c r="E12" s="107"/>
      <c r="F12" s="107"/>
      <c r="G12" s="107"/>
      <c r="H12" s="107">
        <v>530</v>
      </c>
      <c r="I12" s="107">
        <v>3120</v>
      </c>
      <c r="J12" s="400"/>
      <c r="K12" s="133"/>
      <c r="L12" s="140"/>
      <c r="M12" s="140"/>
      <c r="N12" s="133">
        <v>252427</v>
      </c>
      <c r="O12" s="133">
        <v>906937</v>
      </c>
      <c r="P12" s="107"/>
    </row>
    <row r="13" spans="1:16" x14ac:dyDescent="0.25">
      <c r="A13" s="66">
        <v>2400</v>
      </c>
      <c r="B13" s="131" t="s">
        <v>55</v>
      </c>
      <c r="C13" s="1040"/>
      <c r="D13" s="324"/>
      <c r="E13" s="107"/>
      <c r="F13" s="107"/>
      <c r="G13" s="107"/>
      <c r="H13" s="107"/>
      <c r="I13" s="107"/>
      <c r="J13" s="400"/>
      <c r="K13" s="133"/>
      <c r="L13" s="140"/>
      <c r="M13" s="140"/>
      <c r="N13" s="133"/>
      <c r="O13" s="133"/>
      <c r="P13" s="107"/>
    </row>
    <row r="14" spans="1:16" x14ac:dyDescent="0.25">
      <c r="A14" s="66">
        <v>2500</v>
      </c>
      <c r="B14" s="67" t="s">
        <v>253</v>
      </c>
      <c r="C14" s="107"/>
      <c r="D14" s="139"/>
      <c r="E14" s="107">
        <v>1500</v>
      </c>
      <c r="F14" s="107">
        <v>90943</v>
      </c>
      <c r="G14" s="107"/>
      <c r="H14" s="107"/>
      <c r="I14" s="107"/>
      <c r="J14" s="134"/>
      <c r="K14" s="107"/>
      <c r="L14" s="139"/>
      <c r="M14" s="139"/>
      <c r="N14" s="107"/>
      <c r="O14" s="107"/>
      <c r="P14" s="107"/>
    </row>
    <row r="15" spans="1:16" ht="30" x14ac:dyDescent="0.25">
      <c r="A15" s="66">
        <v>3200</v>
      </c>
      <c r="B15" s="67" t="s">
        <v>18</v>
      </c>
      <c r="C15" s="107"/>
      <c r="D15" s="139"/>
      <c r="E15" s="107"/>
      <c r="F15" s="107"/>
      <c r="G15" s="107"/>
      <c r="H15" s="107"/>
      <c r="I15" s="107"/>
      <c r="J15" s="134"/>
      <c r="K15" s="133">
        <v>910000</v>
      </c>
      <c r="L15" s="140">
        <v>160000</v>
      </c>
      <c r="M15" s="140">
        <v>145000</v>
      </c>
      <c r="N15" s="107"/>
      <c r="O15" s="107"/>
      <c r="P15" s="107"/>
    </row>
    <row r="16" spans="1:16" x14ac:dyDescent="0.25">
      <c r="A16" s="66">
        <v>4200</v>
      </c>
      <c r="B16" s="67" t="s">
        <v>19</v>
      </c>
      <c r="C16" s="107"/>
      <c r="D16" s="139"/>
      <c r="E16" s="107"/>
      <c r="F16" s="107"/>
      <c r="G16" s="107"/>
      <c r="H16" s="107"/>
      <c r="I16" s="107"/>
      <c r="J16" s="400"/>
      <c r="K16" s="133"/>
      <c r="L16" s="140"/>
      <c r="M16" s="140"/>
      <c r="N16" s="133"/>
      <c r="O16" s="133"/>
      <c r="P16" s="107"/>
    </row>
    <row r="17" spans="1:16" x14ac:dyDescent="0.25">
      <c r="A17" s="66">
        <v>4300</v>
      </c>
      <c r="B17" s="67" t="s">
        <v>20</v>
      </c>
      <c r="C17" s="107"/>
      <c r="D17" s="139"/>
      <c r="E17" s="107"/>
      <c r="F17" s="107"/>
      <c r="G17" s="107"/>
      <c r="H17" s="107"/>
      <c r="I17" s="107"/>
      <c r="J17" s="400"/>
      <c r="K17" s="133"/>
      <c r="L17" s="140"/>
      <c r="M17" s="140"/>
      <c r="N17" s="133"/>
      <c r="O17" s="133"/>
      <c r="P17" s="107"/>
    </row>
    <row r="18" spans="1:16" x14ac:dyDescent="0.25">
      <c r="A18" s="66">
        <v>5100</v>
      </c>
      <c r="B18" s="67" t="s">
        <v>22</v>
      </c>
      <c r="C18" s="107">
        <v>10000</v>
      </c>
      <c r="D18" s="139"/>
      <c r="E18" s="107"/>
      <c r="F18" s="107"/>
      <c r="G18" s="107"/>
      <c r="H18" s="107"/>
      <c r="I18" s="107"/>
      <c r="J18" s="400"/>
      <c r="K18" s="133"/>
      <c r="L18" s="140"/>
      <c r="M18" s="140"/>
      <c r="N18" s="133"/>
      <c r="O18" s="133"/>
      <c r="P18" s="107"/>
    </row>
    <row r="19" spans="1:16" x14ac:dyDescent="0.25">
      <c r="A19" s="66">
        <v>5200</v>
      </c>
      <c r="B19" s="67" t="s">
        <v>23</v>
      </c>
      <c r="C19" s="107"/>
      <c r="D19" s="139"/>
      <c r="E19" s="107"/>
      <c r="F19" s="107"/>
      <c r="G19" s="107">
        <v>14600</v>
      </c>
      <c r="H19" s="107"/>
      <c r="I19" s="107"/>
      <c r="J19" s="400"/>
      <c r="K19" s="133"/>
      <c r="L19" s="140"/>
      <c r="M19" s="140"/>
      <c r="N19" s="133"/>
      <c r="O19" s="133"/>
      <c r="P19" s="107"/>
    </row>
    <row r="20" spans="1:16" x14ac:dyDescent="0.25">
      <c r="A20" s="66">
        <v>6200</v>
      </c>
      <c r="B20" s="67" t="s">
        <v>24</v>
      </c>
      <c r="C20" s="107"/>
      <c r="D20" s="139"/>
      <c r="E20" s="139"/>
      <c r="F20" s="107"/>
      <c r="G20" s="139"/>
      <c r="H20" s="139"/>
      <c r="I20" s="139"/>
      <c r="J20" s="134"/>
      <c r="K20" s="107"/>
      <c r="L20" s="139"/>
      <c r="M20" s="139"/>
      <c r="N20" s="139"/>
      <c r="O20" s="139"/>
      <c r="P20" s="140">
        <v>81376</v>
      </c>
    </row>
    <row r="21" spans="1:16" ht="15.75" thickBot="1" x14ac:dyDescent="0.3">
      <c r="A21" s="1037">
        <v>7200</v>
      </c>
      <c r="B21" s="328" t="s">
        <v>25</v>
      </c>
      <c r="C21" s="200"/>
      <c r="D21" s="199"/>
      <c r="E21" s="200"/>
      <c r="F21" s="200"/>
      <c r="G21" s="200"/>
      <c r="H21" s="200"/>
      <c r="I21" s="200"/>
      <c r="J21" s="7"/>
      <c r="K21" s="200"/>
      <c r="L21" s="199"/>
      <c r="M21" s="199"/>
      <c r="N21" s="200"/>
      <c r="O21" s="200"/>
      <c r="P21" s="200"/>
    </row>
    <row r="22" spans="1:16" ht="15.75" thickBot="1" x14ac:dyDescent="0.3">
      <c r="A22" s="57"/>
      <c r="B22" s="172" t="s">
        <v>26</v>
      </c>
      <c r="C22" s="644">
        <f t="shared" ref="C22:P22" si="1">SUM(C7+C8+C9+C15+C16+C17+C18+C19+C20+C21)</f>
        <v>193452</v>
      </c>
      <c r="D22" s="326">
        <f t="shared" si="1"/>
        <v>31875</v>
      </c>
      <c r="E22" s="326">
        <f t="shared" si="1"/>
        <v>65263</v>
      </c>
      <c r="F22" s="644">
        <f t="shared" si="1"/>
        <v>97943</v>
      </c>
      <c r="G22" s="644">
        <f t="shared" si="1"/>
        <v>14600</v>
      </c>
      <c r="H22" s="644">
        <f t="shared" si="1"/>
        <v>18890</v>
      </c>
      <c r="I22" s="644">
        <f t="shared" si="1"/>
        <v>21151</v>
      </c>
      <c r="J22" s="642">
        <f t="shared" si="1"/>
        <v>24300</v>
      </c>
      <c r="K22" s="644">
        <f t="shared" si="1"/>
        <v>910000</v>
      </c>
      <c r="L22" s="326">
        <f t="shared" si="1"/>
        <v>160000</v>
      </c>
      <c r="M22" s="326">
        <f t="shared" si="1"/>
        <v>148000</v>
      </c>
      <c r="N22" s="326">
        <f t="shared" si="1"/>
        <v>252427</v>
      </c>
      <c r="O22" s="326">
        <f t="shared" si="1"/>
        <v>906937</v>
      </c>
      <c r="P22" s="327">
        <f t="shared" si="1"/>
        <v>161376</v>
      </c>
    </row>
    <row r="23" spans="1:16" x14ac:dyDescent="0.25">
      <c r="B23" s="325"/>
      <c r="F23" s="10"/>
      <c r="G23" s="10"/>
      <c r="H23" s="10"/>
      <c r="I23" s="10"/>
      <c r="J23" s="10"/>
      <c r="K23" s="10"/>
      <c r="L23" s="10"/>
      <c r="M23" s="10"/>
      <c r="N23" s="10"/>
      <c r="O23" s="10"/>
      <c r="P23" s="10"/>
    </row>
    <row r="24" spans="1:16" x14ac:dyDescent="0.25">
      <c r="B24" s="8" t="s">
        <v>123</v>
      </c>
      <c r="C24" s="204"/>
      <c r="D24" s="204"/>
      <c r="E24" s="1" t="s">
        <v>38</v>
      </c>
      <c r="F24" s="314"/>
      <c r="G24" s="1003"/>
      <c r="H24" s="1002"/>
      <c r="I24" s="314"/>
      <c r="J24" s="314"/>
      <c r="K24" s="314"/>
      <c r="L24" s="932"/>
      <c r="M24" s="963"/>
      <c r="N24" s="314"/>
      <c r="O24" s="399"/>
    </row>
    <row r="26" spans="1:16" x14ac:dyDescent="0.25">
      <c r="C26" s="334"/>
      <c r="D26" s="334"/>
      <c r="E26" s="335"/>
      <c r="F26" s="334"/>
      <c r="G26" s="334"/>
      <c r="H26" s="334"/>
      <c r="I26" s="334"/>
      <c r="J26" s="335"/>
      <c r="K26" s="335"/>
      <c r="L26" s="335"/>
      <c r="M26" s="335"/>
      <c r="N26" s="335"/>
      <c r="O26" s="335"/>
      <c r="P26" s="334"/>
    </row>
    <row r="27" spans="1:16" x14ac:dyDescent="0.25">
      <c r="B27" s="2"/>
      <c r="C27" s="217"/>
      <c r="D27" s="217"/>
      <c r="E27" s="217"/>
      <c r="F27" s="217"/>
      <c r="G27" s="217"/>
      <c r="H27" s="217"/>
      <c r="I27" s="217"/>
      <c r="J27" s="217"/>
      <c r="K27" s="217"/>
      <c r="L27" s="217"/>
      <c r="M27" s="217"/>
      <c r="N27" s="217"/>
      <c r="O27" s="217"/>
      <c r="P27" s="217"/>
    </row>
    <row r="28" spans="1:16" x14ac:dyDescent="0.25">
      <c r="B28" s="448"/>
      <c r="C28" s="447"/>
      <c r="D28" s="447"/>
      <c r="E28" s="445"/>
      <c r="F28" s="405"/>
      <c r="G28" s="405"/>
      <c r="H28" s="405"/>
      <c r="I28" s="405"/>
      <c r="J28" s="445"/>
      <c r="K28" s="445"/>
      <c r="L28" s="445"/>
      <c r="M28" s="445"/>
      <c r="N28" s="445"/>
      <c r="O28" s="445"/>
      <c r="P28" s="445"/>
    </row>
    <row r="29" spans="1:16" x14ac:dyDescent="0.25">
      <c r="B29" s="441"/>
      <c r="C29" s="443"/>
      <c r="D29" s="443"/>
      <c r="E29" s="442"/>
      <c r="F29" s="442"/>
      <c r="G29" s="442"/>
      <c r="H29" s="442"/>
      <c r="I29" s="443"/>
      <c r="J29" s="442"/>
      <c r="K29" s="442"/>
      <c r="L29" s="442"/>
      <c r="M29" s="442"/>
      <c r="N29" s="442"/>
      <c r="O29" s="442"/>
      <c r="P29" s="442"/>
    </row>
    <row r="30" spans="1:16" x14ac:dyDescent="0.25">
      <c r="B30" s="167"/>
      <c r="C30" s="444"/>
      <c r="D30" s="444"/>
      <c r="E30" s="445"/>
      <c r="F30" s="405"/>
      <c r="G30" s="405"/>
      <c r="H30" s="405"/>
      <c r="I30" s="405"/>
      <c r="J30" s="445"/>
      <c r="K30" s="445"/>
      <c r="L30" s="445"/>
      <c r="M30" s="445"/>
      <c r="N30" s="445"/>
      <c r="O30" s="445"/>
      <c r="P30" s="405"/>
    </row>
    <row r="31" spans="1:16" x14ac:dyDescent="0.25">
      <c r="B31" s="167"/>
      <c r="C31" s="334"/>
      <c r="D31" s="334"/>
    </row>
    <row r="32" spans="1:16" x14ac:dyDescent="0.25">
      <c r="A32" s="455"/>
    </row>
    <row r="33" spans="1:1" ht="29.25" customHeight="1" x14ac:dyDescent="0.25">
      <c r="A33" s="11"/>
    </row>
    <row r="34" spans="1:1" ht="25.5" customHeight="1" x14ac:dyDescent="0.25">
      <c r="A34" s="11"/>
    </row>
    <row r="35" spans="1:1" ht="29.25" customHeight="1" x14ac:dyDescent="0.25">
      <c r="A35" s="11"/>
    </row>
  </sheetData>
  <pageMargins left="0.7" right="0.7" top="0.75" bottom="0.75" header="0.3" footer="0.3"/>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9"/>
  <sheetViews>
    <sheetView zoomScaleNormal="100" workbookViewId="0">
      <pane xSplit="3" ySplit="7" topLeftCell="D8" activePane="bottomRight" state="frozen"/>
      <selection pane="topRight" activeCell="E1" sqref="E1"/>
      <selection pane="bottomLeft" activeCell="A9" sqref="A9"/>
      <selection pane="bottomRight" activeCell="U12" sqref="U12"/>
    </sheetView>
  </sheetViews>
  <sheetFormatPr defaultColWidth="9.140625" defaultRowHeight="15" x14ac:dyDescent="0.25"/>
  <cols>
    <col min="1" max="1" width="6.140625" style="1" customWidth="1"/>
    <col min="2" max="2" width="46.85546875" style="1" customWidth="1"/>
    <col min="3" max="3" width="11.140625" style="1" customWidth="1"/>
    <col min="4" max="4" width="10.28515625" style="1" customWidth="1"/>
    <col min="5" max="5" width="9.7109375" style="1" customWidth="1"/>
    <col min="6" max="6" width="10.7109375" style="1" customWidth="1"/>
    <col min="7" max="7" width="10.140625" style="1" customWidth="1"/>
    <col min="8" max="8" width="10.5703125" style="1" customWidth="1"/>
    <col min="9" max="9" width="9.28515625" style="1" customWidth="1"/>
    <col min="10" max="10" width="10.42578125" style="1" customWidth="1"/>
    <col min="11" max="11" width="9.42578125" style="1" customWidth="1"/>
    <col min="12" max="16" width="10.5703125" style="1" customWidth="1"/>
    <col min="17" max="17" width="10.28515625" style="1" customWidth="1"/>
    <col min="18" max="18" width="10.140625" style="1" customWidth="1"/>
    <col min="19" max="16384" width="9.140625" style="1"/>
  </cols>
  <sheetData>
    <row r="1" spans="1:20" x14ac:dyDescent="0.25">
      <c r="B1" s="2" t="s">
        <v>0</v>
      </c>
    </row>
    <row r="2" spans="1:20" x14ac:dyDescent="0.25">
      <c r="N2" s="1" t="s">
        <v>361</v>
      </c>
    </row>
    <row r="3" spans="1:20" x14ac:dyDescent="0.25">
      <c r="A3" s="3" t="s">
        <v>106</v>
      </c>
      <c r="F3" s="5"/>
      <c r="G3" s="5"/>
      <c r="H3" s="5"/>
    </row>
    <row r="4" spans="1:20" x14ac:dyDescent="0.25">
      <c r="B4" s="3" t="s">
        <v>381</v>
      </c>
      <c r="F4" s="5"/>
      <c r="G4" s="5"/>
      <c r="H4" s="5"/>
    </row>
    <row r="5" spans="1:20" x14ac:dyDescent="0.25">
      <c r="A5" s="3"/>
      <c r="B5" s="102" t="s">
        <v>108</v>
      </c>
      <c r="D5" s="103" t="s">
        <v>79</v>
      </c>
      <c r="E5" s="103" t="s">
        <v>80</v>
      </c>
      <c r="F5" s="103" t="s">
        <v>81</v>
      </c>
      <c r="G5" s="103" t="s">
        <v>530</v>
      </c>
      <c r="H5" s="103" t="s">
        <v>82</v>
      </c>
      <c r="I5" s="103" t="s">
        <v>529</v>
      </c>
      <c r="J5" s="103" t="s">
        <v>531</v>
      </c>
      <c r="K5" s="103" t="s">
        <v>532</v>
      </c>
      <c r="L5" s="103" t="s">
        <v>533</v>
      </c>
      <c r="M5" s="103" t="s">
        <v>538</v>
      </c>
      <c r="N5" s="103" t="s">
        <v>534</v>
      </c>
      <c r="O5" s="103" t="s">
        <v>536</v>
      </c>
      <c r="P5" s="103" t="s">
        <v>535</v>
      </c>
      <c r="Q5" s="103" t="s">
        <v>537</v>
      </c>
    </row>
    <row r="6" spans="1:20" ht="60" customHeight="1" thickBot="1" x14ac:dyDescent="0.3">
      <c r="B6" s="3"/>
      <c r="C6" s="104"/>
      <c r="D6" s="105" t="s">
        <v>27</v>
      </c>
      <c r="E6" s="8" t="s">
        <v>99</v>
      </c>
      <c r="F6" s="8" t="s">
        <v>128</v>
      </c>
      <c r="G6" s="8" t="s">
        <v>71</v>
      </c>
      <c r="H6" s="8" t="s">
        <v>28</v>
      </c>
      <c r="I6" s="8" t="s">
        <v>442</v>
      </c>
      <c r="J6" s="8" t="s">
        <v>789</v>
      </c>
      <c r="K6" s="105" t="s">
        <v>509</v>
      </c>
      <c r="L6" s="8" t="s">
        <v>448</v>
      </c>
      <c r="M6" s="8" t="s">
        <v>449</v>
      </c>
      <c r="N6" s="8" t="s">
        <v>450</v>
      </c>
      <c r="O6" s="8" t="s">
        <v>790</v>
      </c>
      <c r="P6" s="8" t="s">
        <v>791</v>
      </c>
      <c r="Q6" s="8" t="s">
        <v>451</v>
      </c>
      <c r="R6" s="8"/>
    </row>
    <row r="7" spans="1:20" ht="33.75" customHeight="1" thickBot="1" x14ac:dyDescent="0.35">
      <c r="A7" s="57" t="s">
        <v>7</v>
      </c>
      <c r="B7" s="58" t="s">
        <v>10</v>
      </c>
      <c r="C7" s="59" t="s">
        <v>32</v>
      </c>
      <c r="D7" s="60" t="s">
        <v>382</v>
      </c>
      <c r="E7" s="60" t="s">
        <v>382</v>
      </c>
      <c r="F7" s="60" t="s">
        <v>382</v>
      </c>
      <c r="G7" s="60" t="s">
        <v>382</v>
      </c>
      <c r="H7" s="60" t="s">
        <v>382</v>
      </c>
      <c r="I7" s="60" t="s">
        <v>382</v>
      </c>
      <c r="J7" s="60" t="s">
        <v>382</v>
      </c>
      <c r="K7" s="60" t="s">
        <v>382</v>
      </c>
      <c r="L7" s="814" t="s">
        <v>382</v>
      </c>
      <c r="M7" s="59" t="s">
        <v>382</v>
      </c>
      <c r="N7" s="60" t="s">
        <v>382</v>
      </c>
      <c r="O7" s="60" t="s">
        <v>382</v>
      </c>
      <c r="P7" s="60" t="s">
        <v>382</v>
      </c>
      <c r="Q7" s="60" t="s">
        <v>382</v>
      </c>
      <c r="T7" s="4"/>
    </row>
    <row r="8" spans="1:20" x14ac:dyDescent="0.25">
      <c r="A8" s="61">
        <v>1100</v>
      </c>
      <c r="B8" s="62" t="s">
        <v>11</v>
      </c>
      <c r="C8" s="106">
        <f>SUM(D8:Q8)</f>
        <v>2978576</v>
      </c>
      <c r="D8" s="64">
        <v>287681</v>
      </c>
      <c r="E8" s="65">
        <v>111705</v>
      </c>
      <c r="F8" s="65">
        <v>176380</v>
      </c>
      <c r="G8" s="65">
        <v>78230</v>
      </c>
      <c r="H8" s="711">
        <v>86772</v>
      </c>
      <c r="I8" s="720">
        <f>392993+6612</f>
        <v>399605</v>
      </c>
      <c r="J8" s="720">
        <v>454533</v>
      </c>
      <c r="K8" s="720">
        <f>187229</f>
        <v>187229</v>
      </c>
      <c r="L8" s="720">
        <v>109606</v>
      </c>
      <c r="M8" s="1051">
        <v>197542</v>
      </c>
      <c r="N8" s="1045">
        <v>221456</v>
      </c>
      <c r="O8" s="720">
        <v>306787</v>
      </c>
      <c r="P8" s="720">
        <f>267005+495</f>
        <v>267500</v>
      </c>
      <c r="Q8" s="718">
        <v>93550</v>
      </c>
    </row>
    <row r="9" spans="1:20" ht="29.25" customHeight="1" x14ac:dyDescent="0.25">
      <c r="A9" s="66">
        <v>1200</v>
      </c>
      <c r="B9" s="67" t="s">
        <v>12</v>
      </c>
      <c r="C9" s="68">
        <f>SUM(D9:Q9)</f>
        <v>1182639</v>
      </c>
      <c r="D9" s="69">
        <v>132469</v>
      </c>
      <c r="E9" s="70">
        <v>60090</v>
      </c>
      <c r="F9" s="70">
        <v>88134</v>
      </c>
      <c r="G9" s="70">
        <v>52909</v>
      </c>
      <c r="H9" s="712">
        <v>37375</v>
      </c>
      <c r="I9" s="712">
        <f>189617+1560</f>
        <v>191177</v>
      </c>
      <c r="J9" s="712">
        <v>145945</v>
      </c>
      <c r="K9" s="712">
        <v>65382</v>
      </c>
      <c r="L9" s="712">
        <v>34950</v>
      </c>
      <c r="M9" s="70">
        <v>73127</v>
      </c>
      <c r="N9" s="641">
        <v>76187</v>
      </c>
      <c r="O9" s="712">
        <v>103714</v>
      </c>
      <c r="P9" s="712">
        <f>83756+1113</f>
        <v>84869</v>
      </c>
      <c r="Q9" s="71">
        <v>36311</v>
      </c>
    </row>
    <row r="10" spans="1:20" x14ac:dyDescent="0.25">
      <c r="A10" s="66">
        <v>2000</v>
      </c>
      <c r="B10" s="73" t="s">
        <v>13</v>
      </c>
      <c r="C10" s="107">
        <f>SUM(C11:C15)</f>
        <v>2312675</v>
      </c>
      <c r="D10" s="78">
        <f>SUM(D11:D15)</f>
        <v>286966</v>
      </c>
      <c r="E10" s="79">
        <f t="shared" ref="E10:H10" si="0">SUM(E11:E15)</f>
        <v>246864</v>
      </c>
      <c r="F10" s="79">
        <f t="shared" si="0"/>
        <v>128661</v>
      </c>
      <c r="G10" s="79">
        <f t="shared" si="0"/>
        <v>212322</v>
      </c>
      <c r="H10" s="713">
        <f t="shared" si="0"/>
        <v>67534</v>
      </c>
      <c r="I10" s="713">
        <f t="shared" ref="I10:J10" si="1">SUM(I11:I15)</f>
        <v>360227</v>
      </c>
      <c r="J10" s="713">
        <f t="shared" si="1"/>
        <v>147341</v>
      </c>
      <c r="K10" s="88">
        <f t="shared" ref="K10:Q10" si="2">SUM(K11:K15)</f>
        <v>168783</v>
      </c>
      <c r="L10" s="713">
        <f>SUM(L11:L15)</f>
        <v>99577</v>
      </c>
      <c r="M10" s="88">
        <f t="shared" si="2"/>
        <v>154906</v>
      </c>
      <c r="N10" s="87">
        <f t="shared" si="2"/>
        <v>128457</v>
      </c>
      <c r="O10" s="88">
        <f t="shared" si="2"/>
        <v>157679</v>
      </c>
      <c r="P10" s="88">
        <f t="shared" si="2"/>
        <v>103726</v>
      </c>
      <c r="Q10" s="139">
        <f t="shared" si="2"/>
        <v>49632</v>
      </c>
    </row>
    <row r="11" spans="1:20" x14ac:dyDescent="0.25">
      <c r="A11" s="66">
        <v>2100</v>
      </c>
      <c r="B11" s="73" t="s">
        <v>14</v>
      </c>
      <c r="C11" s="107">
        <f>SUM(D11:Q11)</f>
        <v>2800</v>
      </c>
      <c r="D11" s="78"/>
      <c r="E11" s="79"/>
      <c r="F11" s="79">
        <v>50</v>
      </c>
      <c r="G11" s="79"/>
      <c r="H11" s="713"/>
      <c r="I11" s="713"/>
      <c r="J11" s="713">
        <v>100</v>
      </c>
      <c r="K11" s="713">
        <v>1250</v>
      </c>
      <c r="L11" s="713">
        <v>400</v>
      </c>
      <c r="M11" s="88">
        <v>660</v>
      </c>
      <c r="N11" s="134"/>
      <c r="O11" s="713">
        <v>180</v>
      </c>
      <c r="P11" s="713">
        <v>160</v>
      </c>
      <c r="Q11" s="89"/>
    </row>
    <row r="12" spans="1:20" x14ac:dyDescent="0.25">
      <c r="A12" s="66">
        <v>2200</v>
      </c>
      <c r="B12" s="73" t="s">
        <v>15</v>
      </c>
      <c r="C12" s="107">
        <f>SUM(D12:Q12)</f>
        <v>1645105</v>
      </c>
      <c r="D12" s="78">
        <v>225750</v>
      </c>
      <c r="E12" s="79">
        <v>208435</v>
      </c>
      <c r="F12" s="79">
        <v>100925</v>
      </c>
      <c r="G12" s="79">
        <v>172780</v>
      </c>
      <c r="H12" s="714">
        <v>51300</v>
      </c>
      <c r="I12" s="714">
        <v>287567</v>
      </c>
      <c r="J12" s="714">
        <v>56855</v>
      </c>
      <c r="K12" s="714">
        <v>114173</v>
      </c>
      <c r="L12" s="714">
        <v>54818</v>
      </c>
      <c r="M12" s="79">
        <v>78925</v>
      </c>
      <c r="N12" s="134">
        <v>51646</v>
      </c>
      <c r="O12" s="714">
        <v>130654</v>
      </c>
      <c r="P12" s="714">
        <v>81175</v>
      </c>
      <c r="Q12" s="80">
        <v>30102</v>
      </c>
    </row>
    <row r="13" spans="1:20" ht="30" x14ac:dyDescent="0.25">
      <c r="A13" s="66">
        <v>2300</v>
      </c>
      <c r="B13" s="67" t="s">
        <v>16</v>
      </c>
      <c r="C13" s="107">
        <f>SUM(D13:Q13)</f>
        <v>659955</v>
      </c>
      <c r="D13" s="78">
        <f>45912+14804</f>
        <v>60716</v>
      </c>
      <c r="E13" s="79">
        <f>32275+5854</f>
        <v>38129</v>
      </c>
      <c r="F13" s="79">
        <f>22666+5000</f>
        <v>27666</v>
      </c>
      <c r="G13" s="79">
        <f>31742+7500</f>
        <v>39242</v>
      </c>
      <c r="H13" s="714">
        <f>14370+1500+214</f>
        <v>16084</v>
      </c>
      <c r="I13" s="714">
        <f>60932+11428</f>
        <v>72360</v>
      </c>
      <c r="J13" s="714">
        <f>88647+400+839</f>
        <v>89886</v>
      </c>
      <c r="K13" s="714">
        <f>50160+3000</f>
        <v>53160</v>
      </c>
      <c r="L13" s="714">
        <f>42800+649</f>
        <v>43449</v>
      </c>
      <c r="M13" s="79">
        <f>72841+2095</f>
        <v>74936</v>
      </c>
      <c r="N13" s="400">
        <f>74919+696+696</f>
        <v>76311</v>
      </c>
      <c r="O13" s="714">
        <f>25242+460+643</f>
        <v>26345</v>
      </c>
      <c r="P13" s="714">
        <f>21298+307+536</f>
        <v>22141</v>
      </c>
      <c r="Q13" s="80">
        <v>19530</v>
      </c>
    </row>
    <row r="14" spans="1:20" x14ac:dyDescent="0.25">
      <c r="A14" s="66">
        <v>2400</v>
      </c>
      <c r="B14" s="77" t="s">
        <v>56</v>
      </c>
      <c r="C14" s="107">
        <f>SUM(D14:Q14)</f>
        <v>4105</v>
      </c>
      <c r="D14" s="78">
        <v>500</v>
      </c>
      <c r="E14" s="79">
        <v>300</v>
      </c>
      <c r="F14" s="79">
        <v>20</v>
      </c>
      <c r="G14" s="79">
        <v>300</v>
      </c>
      <c r="H14" s="713">
        <v>150</v>
      </c>
      <c r="I14" s="713">
        <v>300</v>
      </c>
      <c r="J14" s="713">
        <v>500</v>
      </c>
      <c r="K14" s="713">
        <v>200</v>
      </c>
      <c r="L14" s="713">
        <v>200</v>
      </c>
      <c r="M14" s="88">
        <v>385</v>
      </c>
      <c r="N14" s="134">
        <v>500</v>
      </c>
      <c r="O14" s="713">
        <v>500</v>
      </c>
      <c r="P14" s="713">
        <v>250</v>
      </c>
      <c r="Q14" s="89"/>
    </row>
    <row r="15" spans="1:20" x14ac:dyDescent="0.25">
      <c r="A15" s="66">
        <v>2500</v>
      </c>
      <c r="B15" s="73" t="s">
        <v>17</v>
      </c>
      <c r="C15" s="107">
        <f>SUM(D15:Q15)</f>
        <v>710</v>
      </c>
      <c r="D15" s="78"/>
      <c r="E15" s="79"/>
      <c r="F15" s="79"/>
      <c r="G15" s="79"/>
      <c r="H15" s="713"/>
      <c r="I15" s="713"/>
      <c r="J15" s="713"/>
      <c r="K15" s="713"/>
      <c r="L15" s="713">
        <v>710</v>
      </c>
      <c r="M15" s="1052"/>
      <c r="N15" s="1046"/>
      <c r="O15" s="713"/>
      <c r="P15" s="894"/>
      <c r="Q15" s="89"/>
    </row>
    <row r="16" spans="1:20" s="108" customFormat="1" hidden="1" x14ac:dyDescent="0.25">
      <c r="A16" s="66">
        <v>3200</v>
      </c>
      <c r="B16" s="4" t="s">
        <v>93</v>
      </c>
      <c r="C16" s="107">
        <f t="shared" ref="C16:C17" si="3">SUM(D16:Q16)</f>
        <v>0</v>
      </c>
      <c r="D16" s="218"/>
      <c r="E16" s="216"/>
      <c r="F16" s="216"/>
      <c r="G16" s="216"/>
      <c r="H16" s="73"/>
      <c r="I16" s="73"/>
      <c r="J16" s="73"/>
      <c r="K16" s="73"/>
      <c r="L16" s="73"/>
      <c r="M16" s="18"/>
      <c r="N16" s="1047"/>
      <c r="O16" s="73"/>
      <c r="P16" s="73"/>
      <c r="Q16" s="219"/>
    </row>
    <row r="17" spans="1:22" s="3" customFormat="1" hidden="1" x14ac:dyDescent="0.25">
      <c r="A17" s="66">
        <v>4200</v>
      </c>
      <c r="B17" s="73" t="s">
        <v>19</v>
      </c>
      <c r="C17" s="107">
        <f t="shared" si="3"/>
        <v>0</v>
      </c>
      <c r="D17" s="78"/>
      <c r="E17" s="79"/>
      <c r="F17" s="79"/>
      <c r="G17" s="79"/>
      <c r="H17" s="713"/>
      <c r="I17" s="713"/>
      <c r="J17" s="713"/>
      <c r="K17" s="713"/>
      <c r="L17" s="713"/>
      <c r="M17" s="88"/>
      <c r="N17" s="134"/>
      <c r="O17" s="713"/>
      <c r="P17" s="713"/>
      <c r="Q17" s="89"/>
    </row>
    <row r="18" spans="1:22" hidden="1" x14ac:dyDescent="0.25">
      <c r="A18" s="66">
        <v>4300</v>
      </c>
      <c r="B18" s="73" t="s">
        <v>20</v>
      </c>
      <c r="C18" s="107">
        <f>SUM(D18:Q18)</f>
        <v>0</v>
      </c>
      <c r="D18" s="78"/>
      <c r="E18" s="79"/>
      <c r="F18" s="79"/>
      <c r="G18" s="79"/>
      <c r="H18" s="713"/>
      <c r="I18" s="713"/>
      <c r="J18" s="713"/>
      <c r="K18" s="713"/>
      <c r="L18" s="713"/>
      <c r="M18" s="88"/>
      <c r="N18" s="134"/>
      <c r="O18" s="713"/>
      <c r="P18" s="713"/>
      <c r="Q18" s="89"/>
    </row>
    <row r="19" spans="1:22" x14ac:dyDescent="0.25">
      <c r="A19" s="66">
        <v>5100</v>
      </c>
      <c r="B19" s="73" t="s">
        <v>22</v>
      </c>
      <c r="C19" s="107">
        <f>SUM(D19:Q19)</f>
        <v>4185</v>
      </c>
      <c r="D19" s="78"/>
      <c r="E19" s="79">
        <v>950</v>
      </c>
      <c r="F19" s="79"/>
      <c r="G19" s="79">
        <v>200</v>
      </c>
      <c r="H19" s="714"/>
      <c r="I19" s="714"/>
      <c r="J19" s="714">
        <v>1265</v>
      </c>
      <c r="K19" s="714">
        <v>1500</v>
      </c>
      <c r="L19" s="714"/>
      <c r="M19" s="79"/>
      <c r="N19" s="400"/>
      <c r="O19" s="714"/>
      <c r="P19" s="714">
        <v>270</v>
      </c>
      <c r="Q19" s="80"/>
    </row>
    <row r="20" spans="1:22" x14ac:dyDescent="0.25">
      <c r="A20" s="66">
        <v>5200</v>
      </c>
      <c r="B20" s="109" t="s">
        <v>23</v>
      </c>
      <c r="C20" s="107">
        <f>SUM(D20:Q20)</f>
        <v>378967</v>
      </c>
      <c r="D20" s="78">
        <f>17950+5000</f>
        <v>22950</v>
      </c>
      <c r="E20" s="79">
        <f>15000+3000</f>
        <v>18000</v>
      </c>
      <c r="F20" s="79">
        <f>13541+4300</f>
        <v>17841</v>
      </c>
      <c r="G20" s="79">
        <f>8477+3785</f>
        <v>12262</v>
      </c>
      <c r="H20" s="714">
        <f>9000+1600+1800</f>
        <v>12400</v>
      </c>
      <c r="I20" s="714">
        <f>45704+8000</f>
        <v>53704</v>
      </c>
      <c r="J20" s="714">
        <f>5524+1260+456</f>
        <v>7240</v>
      </c>
      <c r="K20" s="714">
        <f>66326+2499</f>
        <v>68825</v>
      </c>
      <c r="L20" s="714">
        <f>4000+1000</f>
        <v>5000</v>
      </c>
      <c r="M20" s="79">
        <f>3028+13864</f>
        <v>16892</v>
      </c>
      <c r="N20" s="400">
        <f>22900+3000</f>
        <v>25900</v>
      </c>
      <c r="O20" s="714">
        <f>54853+1100</f>
        <v>55953</v>
      </c>
      <c r="P20" s="714">
        <f>60000+800</f>
        <v>60800</v>
      </c>
      <c r="Q20" s="80">
        <v>1200</v>
      </c>
    </row>
    <row r="21" spans="1:22" s="3" customFormat="1" x14ac:dyDescent="0.25">
      <c r="A21" s="66">
        <v>6000</v>
      </c>
      <c r="B21" s="67" t="s">
        <v>53</v>
      </c>
      <c r="C21" s="107">
        <f>SUM(C22:C24)</f>
        <v>16530</v>
      </c>
      <c r="D21" s="87">
        <f>SUM(D22:D24)</f>
        <v>0</v>
      </c>
      <c r="E21" s="87">
        <f t="shared" ref="E21:Q21" si="4">SUM(E22:E24)</f>
        <v>0</v>
      </c>
      <c r="F21" s="87">
        <f t="shared" si="4"/>
        <v>0</v>
      </c>
      <c r="G21" s="87">
        <f t="shared" si="4"/>
        <v>250</v>
      </c>
      <c r="H21" s="87">
        <f t="shared" si="4"/>
        <v>0</v>
      </c>
      <c r="I21" s="87">
        <f t="shared" si="4"/>
        <v>6000</v>
      </c>
      <c r="J21" s="87">
        <f t="shared" si="4"/>
        <v>0</v>
      </c>
      <c r="K21" s="87">
        <f t="shared" si="4"/>
        <v>0</v>
      </c>
      <c r="L21" s="134">
        <f t="shared" si="4"/>
        <v>0</v>
      </c>
      <c r="M21" s="88">
        <f t="shared" si="4"/>
        <v>9600</v>
      </c>
      <c r="N21" s="87">
        <f t="shared" si="4"/>
        <v>0</v>
      </c>
      <c r="O21" s="87">
        <f t="shared" si="4"/>
        <v>300</v>
      </c>
      <c r="P21" s="87">
        <f t="shared" si="4"/>
        <v>380</v>
      </c>
      <c r="Q21" s="139">
        <f t="shared" si="4"/>
        <v>0</v>
      </c>
    </row>
    <row r="22" spans="1:22" s="3" customFormat="1" x14ac:dyDescent="0.25">
      <c r="A22" s="66">
        <v>6200</v>
      </c>
      <c r="B22" s="73" t="s">
        <v>24</v>
      </c>
      <c r="C22" s="107">
        <f>SUM(D22:Q22)</f>
        <v>0</v>
      </c>
      <c r="D22" s="83"/>
      <c r="E22" s="84"/>
      <c r="F22" s="84"/>
      <c r="G22" s="84"/>
      <c r="H22" s="715"/>
      <c r="I22" s="715"/>
      <c r="J22" s="715"/>
      <c r="K22" s="715"/>
      <c r="L22" s="715"/>
      <c r="M22" s="84"/>
      <c r="N22" s="1048"/>
      <c r="O22" s="715"/>
      <c r="P22" s="715"/>
      <c r="Q22" s="85"/>
    </row>
    <row r="23" spans="1:22" x14ac:dyDescent="0.25">
      <c r="A23" s="66">
        <v>6300</v>
      </c>
      <c r="B23" s="67" t="s">
        <v>54</v>
      </c>
      <c r="C23" s="107">
        <f t="shared" ref="C23:C25" si="5">SUM(D23:Q23)</f>
        <v>0</v>
      </c>
      <c r="D23" s="83"/>
      <c r="E23" s="84"/>
      <c r="F23" s="84"/>
      <c r="G23" s="84"/>
      <c r="H23" s="715"/>
      <c r="I23" s="715"/>
      <c r="J23" s="715"/>
      <c r="K23" s="715"/>
      <c r="L23" s="715"/>
      <c r="M23" s="84"/>
      <c r="N23" s="1048"/>
      <c r="O23" s="715"/>
      <c r="P23" s="715"/>
      <c r="Q23" s="85"/>
    </row>
    <row r="24" spans="1:22" x14ac:dyDescent="0.25">
      <c r="A24" s="90">
        <v>6400</v>
      </c>
      <c r="B24" s="404" t="s">
        <v>317</v>
      </c>
      <c r="C24" s="107">
        <f t="shared" si="5"/>
        <v>16530</v>
      </c>
      <c r="D24" s="92"/>
      <c r="E24" s="93"/>
      <c r="F24" s="93"/>
      <c r="G24" s="111">
        <v>250</v>
      </c>
      <c r="H24" s="717"/>
      <c r="I24" s="717">
        <v>6000</v>
      </c>
      <c r="J24" s="717"/>
      <c r="K24" s="717"/>
      <c r="L24" s="717"/>
      <c r="M24" s="111">
        <v>9600</v>
      </c>
      <c r="N24" s="1049"/>
      <c r="O24" s="717">
        <v>300</v>
      </c>
      <c r="P24" s="716">
        <v>380</v>
      </c>
      <c r="Q24" s="95"/>
    </row>
    <row r="25" spans="1:22" ht="15.75" thickBot="1" x14ac:dyDescent="0.3">
      <c r="A25" s="90">
        <v>7200</v>
      </c>
      <c r="B25" s="91" t="s">
        <v>25</v>
      </c>
      <c r="C25" s="107">
        <f t="shared" si="5"/>
        <v>0</v>
      </c>
      <c r="D25" s="92"/>
      <c r="E25" s="93"/>
      <c r="F25" s="93"/>
      <c r="G25" s="111"/>
      <c r="H25" s="717"/>
      <c r="I25" s="721"/>
      <c r="J25" s="721"/>
      <c r="K25" s="721"/>
      <c r="L25" s="721"/>
      <c r="M25" s="1053"/>
      <c r="N25" s="1050"/>
      <c r="O25" s="721"/>
      <c r="P25" s="721"/>
      <c r="Q25" s="719"/>
    </row>
    <row r="26" spans="1:22" ht="15.75" thickBot="1" x14ac:dyDescent="0.3">
      <c r="A26" s="57"/>
      <c r="B26" s="96" t="s">
        <v>26</v>
      </c>
      <c r="C26" s="97">
        <f>C8+C9+C10+C16+C17+C18+C19+C20+C21</f>
        <v>6873572</v>
      </c>
      <c r="D26" s="250">
        <f>D8+D9+D10+D16+D17+D18+D19+D20+D21+D25</f>
        <v>730066</v>
      </c>
      <c r="E26" s="250">
        <f>E8+E9+E10+E16+E17+E18+E19+E20+E21+E25</f>
        <v>437609</v>
      </c>
      <c r="F26" s="250">
        <f t="shared" ref="F26:Q26" si="6">F8+F9+F10+F16+F17+F18+F19+F20+F21+F25</f>
        <v>411016</v>
      </c>
      <c r="G26" s="250">
        <f t="shared" si="6"/>
        <v>356173</v>
      </c>
      <c r="H26" s="250">
        <f t="shared" si="6"/>
        <v>204081</v>
      </c>
      <c r="I26" s="250">
        <f t="shared" si="6"/>
        <v>1010713</v>
      </c>
      <c r="J26" s="250">
        <f t="shared" si="6"/>
        <v>756324</v>
      </c>
      <c r="K26" s="250">
        <f>K8+K9+K10+K16+K17+K18+K19+K20+K21+K25</f>
        <v>491719</v>
      </c>
      <c r="L26" s="1044">
        <f>L8+L9+L10+L16+L17+L18+L19+L20+L21+L25</f>
        <v>249133</v>
      </c>
      <c r="M26" s="1054">
        <f t="shared" si="6"/>
        <v>452067</v>
      </c>
      <c r="N26" s="250">
        <f t="shared" si="6"/>
        <v>452000</v>
      </c>
      <c r="O26" s="250">
        <f t="shared" si="6"/>
        <v>624433</v>
      </c>
      <c r="P26" s="250">
        <f>P8+P9+P10+P16+P17+P18+P19+P20+P21+P25</f>
        <v>517545</v>
      </c>
      <c r="Q26" s="250">
        <f t="shared" si="6"/>
        <v>180693</v>
      </c>
      <c r="R26" s="6"/>
      <c r="S26" s="6"/>
      <c r="T26" s="6"/>
      <c r="U26" s="6"/>
      <c r="V26" s="6"/>
    </row>
    <row r="27" spans="1:22" x14ac:dyDescent="0.25">
      <c r="B27" s="98" t="s">
        <v>44</v>
      </c>
      <c r="C27" s="101">
        <f>SUM(D27:Q27)</f>
        <v>6715544</v>
      </c>
      <c r="D27" s="340">
        <f>1384411-648</f>
        <v>1383763</v>
      </c>
      <c r="E27" s="341">
        <f>682136-1236</f>
        <v>680900</v>
      </c>
      <c r="F27" s="341">
        <f>597450</f>
        <v>597450</v>
      </c>
      <c r="G27" s="340">
        <v>655031</v>
      </c>
      <c r="H27" s="340">
        <v>212922</v>
      </c>
      <c r="I27" s="183">
        <f>1088243-3131</f>
        <v>1085112</v>
      </c>
      <c r="J27" s="183">
        <v>81425</v>
      </c>
      <c r="K27" s="183">
        <v>452262</v>
      </c>
      <c r="L27" s="183">
        <v>107115</v>
      </c>
      <c r="M27" s="183">
        <v>570469</v>
      </c>
      <c r="N27" s="183">
        <v>384816</v>
      </c>
      <c r="O27" s="183">
        <v>136496</v>
      </c>
      <c r="P27" s="183">
        <v>118951</v>
      </c>
      <c r="Q27" s="183">
        <v>248832</v>
      </c>
    </row>
    <row r="28" spans="1:22" x14ac:dyDescent="0.25">
      <c r="B28" s="98" t="s">
        <v>580</v>
      </c>
      <c r="C28" s="101">
        <f t="shared" ref="C28:C33" si="7">SUM(D28:Q28)</f>
        <v>5015</v>
      </c>
      <c r="D28" s="340">
        <v>648</v>
      </c>
      <c r="E28" s="341">
        <v>1236</v>
      </c>
      <c r="F28" s="341"/>
      <c r="G28" s="340"/>
      <c r="H28" s="340"/>
      <c r="I28" s="183">
        <v>3131</v>
      </c>
      <c r="J28" s="183"/>
      <c r="K28" s="183"/>
      <c r="L28" s="183"/>
      <c r="M28" s="183"/>
      <c r="N28" s="183"/>
      <c r="O28" s="183"/>
      <c r="P28" s="183"/>
      <c r="Q28" s="183"/>
    </row>
    <row r="29" spans="1:22" x14ac:dyDescent="0.25">
      <c r="B29" s="98" t="s">
        <v>375</v>
      </c>
      <c r="C29" s="101">
        <f t="shared" si="7"/>
        <v>0</v>
      </c>
      <c r="D29" s="99"/>
      <c r="E29" s="72"/>
      <c r="F29" s="72"/>
      <c r="G29" s="99"/>
      <c r="H29" s="99"/>
    </row>
    <row r="30" spans="1:22" x14ac:dyDescent="0.25">
      <c r="B30" s="98" t="s">
        <v>57</v>
      </c>
      <c r="C30" s="101">
        <f t="shared" si="7"/>
        <v>127301</v>
      </c>
      <c r="D30" s="99"/>
      <c r="E30" s="72"/>
      <c r="F30" s="72"/>
      <c r="G30" s="99"/>
      <c r="H30" s="99"/>
      <c r="J30" s="3">
        <v>35605</v>
      </c>
      <c r="N30" s="3">
        <v>31764</v>
      </c>
      <c r="O30" s="3">
        <v>34726</v>
      </c>
      <c r="P30" s="3">
        <v>25206</v>
      </c>
    </row>
    <row r="31" spans="1:22" x14ac:dyDescent="0.25">
      <c r="B31" s="98" t="s">
        <v>58</v>
      </c>
      <c r="C31" s="101">
        <f>SUM(D31:Q31)</f>
        <v>241100</v>
      </c>
      <c r="D31" s="340">
        <v>26414</v>
      </c>
      <c r="E31" s="341">
        <v>22052</v>
      </c>
      <c r="F31" s="340">
        <v>17758</v>
      </c>
      <c r="G31" s="341">
        <v>30366</v>
      </c>
      <c r="H31" s="99">
        <v>14419</v>
      </c>
      <c r="I31" s="3">
        <v>46202</v>
      </c>
      <c r="J31" s="3">
        <v>5244</v>
      </c>
      <c r="K31" s="3">
        <v>17736</v>
      </c>
      <c r="L31" s="3">
        <v>6555</v>
      </c>
      <c r="M31" s="3">
        <v>15741</v>
      </c>
      <c r="N31" s="3">
        <v>9752</v>
      </c>
      <c r="O31" s="3">
        <v>14593</v>
      </c>
      <c r="P31" s="3">
        <v>11646</v>
      </c>
      <c r="Q31" s="3">
        <v>2622</v>
      </c>
    </row>
    <row r="32" spans="1:22" x14ac:dyDescent="0.25">
      <c r="B32" s="98" t="s">
        <v>209</v>
      </c>
      <c r="C32" s="101">
        <f t="shared" si="7"/>
        <v>0</v>
      </c>
      <c r="D32" s="99"/>
      <c r="E32" s="72"/>
      <c r="F32" s="99"/>
      <c r="G32" s="72"/>
      <c r="H32" s="99"/>
    </row>
    <row r="33" spans="2:17" x14ac:dyDescent="0.25">
      <c r="B33" s="98" t="s">
        <v>213</v>
      </c>
      <c r="C33" s="101">
        <f t="shared" si="7"/>
        <v>3745</v>
      </c>
      <c r="D33" s="99"/>
      <c r="E33" s="72"/>
      <c r="F33" s="99"/>
      <c r="G33" s="72"/>
      <c r="H33" s="99"/>
      <c r="K33" s="3">
        <v>3745</v>
      </c>
    </row>
    <row r="34" spans="2:17" x14ac:dyDescent="0.25">
      <c r="B34" s="98" t="s">
        <v>47</v>
      </c>
      <c r="C34" s="101">
        <f>SUM(C26:C33)</f>
        <v>13966277</v>
      </c>
      <c r="D34" s="101">
        <f>SUM(D26:D33)</f>
        <v>2140891</v>
      </c>
      <c r="E34" s="101">
        <f t="shared" ref="E34:G34" si="8">SUM(E26:E33)</f>
        <v>1141797</v>
      </c>
      <c r="F34" s="101">
        <f>SUM(F26:F33)</f>
        <v>1026224</v>
      </c>
      <c r="G34" s="101">
        <f t="shared" si="8"/>
        <v>1041570</v>
      </c>
      <c r="H34" s="101">
        <f>SUM(H26:H33)</f>
        <v>431422</v>
      </c>
      <c r="I34" s="101">
        <f t="shared" ref="I34:P34" si="9">SUM(I26:I33)</f>
        <v>2145158</v>
      </c>
      <c r="J34" s="101">
        <f t="shared" si="9"/>
        <v>878598</v>
      </c>
      <c r="K34" s="101">
        <f>SUM(K26:K33)</f>
        <v>965462</v>
      </c>
      <c r="L34" s="101">
        <f t="shared" si="9"/>
        <v>362803</v>
      </c>
      <c r="M34" s="101">
        <f t="shared" si="9"/>
        <v>1038277</v>
      </c>
      <c r="N34" s="101">
        <f t="shared" si="9"/>
        <v>878332</v>
      </c>
      <c r="O34" s="101">
        <f t="shared" si="9"/>
        <v>810248</v>
      </c>
      <c r="P34" s="101">
        <f t="shared" si="9"/>
        <v>673348</v>
      </c>
      <c r="Q34" s="101">
        <f>SUM(Q26:Q33)</f>
        <v>432147</v>
      </c>
    </row>
    <row r="35" spans="2:17" x14ac:dyDescent="0.25">
      <c r="B35" s="4"/>
      <c r="C35" s="4"/>
      <c r="D35" s="113"/>
      <c r="E35" s="113"/>
      <c r="F35" s="113"/>
      <c r="G35" s="113"/>
      <c r="H35" s="113"/>
    </row>
    <row r="36" spans="2:17" x14ac:dyDescent="0.25">
      <c r="B36" s="4"/>
      <c r="C36" s="4"/>
      <c r="D36" s="113"/>
      <c r="E36" s="113"/>
      <c r="F36" s="113"/>
      <c r="G36" s="113"/>
      <c r="H36" s="113"/>
    </row>
    <row r="37" spans="2:17" x14ac:dyDescent="0.25">
      <c r="B37" s="8" t="s">
        <v>123</v>
      </c>
      <c r="C37" s="8"/>
      <c r="E37" s="1" t="s">
        <v>38</v>
      </c>
    </row>
    <row r="38" spans="2:17" x14ac:dyDescent="0.25">
      <c r="C38" s="334"/>
      <c r="D38" s="334"/>
      <c r="E38" s="334"/>
      <c r="F38" s="334"/>
      <c r="G38" s="334"/>
      <c r="H38" s="334"/>
    </row>
    <row r="40" spans="2:17" x14ac:dyDescent="0.25">
      <c r="B40" s="2"/>
      <c r="D40" s="217"/>
      <c r="E40" s="217"/>
      <c r="F40" s="217"/>
      <c r="G40" s="217"/>
      <c r="H40" s="217"/>
      <c r="I40" s="217"/>
      <c r="J40" s="217"/>
      <c r="K40" s="217"/>
      <c r="L40" s="217"/>
      <c r="M40" s="217"/>
      <c r="N40" s="217"/>
      <c r="O40" s="217"/>
      <c r="P40" s="217"/>
    </row>
    <row r="41" spans="2:17" x14ac:dyDescent="0.25">
      <c r="B41" s="680"/>
      <c r="I41" s="334"/>
    </row>
    <row r="43" spans="2:17" x14ac:dyDescent="0.25">
      <c r="B43" s="2"/>
      <c r="O43" s="6"/>
    </row>
    <row r="44" spans="2:17" x14ac:dyDescent="0.25">
      <c r="B44" s="2"/>
    </row>
    <row r="45" spans="2:17" x14ac:dyDescent="0.25">
      <c r="B45" s="2"/>
    </row>
    <row r="46" spans="2:17" x14ac:dyDescent="0.25">
      <c r="B46" s="2"/>
    </row>
    <row r="48" spans="2:17" x14ac:dyDescent="0.25">
      <c r="B48" s="2"/>
    </row>
    <row r="49" spans="2:2" x14ac:dyDescent="0.25">
      <c r="B49" s="2"/>
    </row>
  </sheetData>
  <phoneticPr fontId="0" type="noConversion"/>
  <pageMargins left="0.35433070866141736" right="0.19685039370078741" top="0.39370078740157483" bottom="0.39370078740157483" header="0.51181102362204722" footer="0.51181102362204722"/>
  <pageSetup paperSize="9" scale="8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80"/>
  <sheetViews>
    <sheetView workbookViewId="0">
      <selection activeCell="J79" sqref="J79"/>
    </sheetView>
  </sheetViews>
  <sheetFormatPr defaultRowHeight="15.75" x14ac:dyDescent="0.25"/>
  <cols>
    <col min="2" max="2" width="6.28515625" customWidth="1"/>
    <col min="3" max="3" width="27.5703125" style="291" customWidth="1"/>
    <col min="4" max="4" width="15.85546875" customWidth="1"/>
    <col min="5" max="5" width="10.85546875" style="290" customWidth="1"/>
    <col min="6" max="6" width="9.85546875" style="450" customWidth="1"/>
    <col min="7" max="7" width="9.28515625" style="1073" customWidth="1"/>
    <col min="8" max="8" width="8.28515625" style="450" customWidth="1"/>
    <col min="9" max="9" width="11.28515625" customWidth="1"/>
  </cols>
  <sheetData>
    <row r="1" spans="1:8" x14ac:dyDescent="0.25">
      <c r="E1" s="1036" t="s">
        <v>361</v>
      </c>
      <c r="F1" s="1036"/>
      <c r="G1" s="1036"/>
    </row>
    <row r="2" spans="1:8" x14ac:dyDescent="0.25">
      <c r="A2" s="16"/>
      <c r="B2" s="1092" t="s">
        <v>51</v>
      </c>
      <c r="C2" s="1092"/>
      <c r="D2" s="1092"/>
      <c r="E2" s="1092"/>
      <c r="F2" s="999"/>
      <c r="G2" s="1069"/>
    </row>
    <row r="3" spans="1:8" x14ac:dyDescent="0.25">
      <c r="A3" s="16"/>
      <c r="B3" s="1093" t="s">
        <v>664</v>
      </c>
      <c r="C3" s="1093"/>
      <c r="D3" s="1093"/>
      <c r="E3" s="1093"/>
      <c r="F3" s="999"/>
      <c r="G3" s="1069"/>
    </row>
    <row r="4" spans="1:8" x14ac:dyDescent="0.25">
      <c r="A4" s="16"/>
      <c r="B4" s="1094" t="s">
        <v>685</v>
      </c>
      <c r="C4" s="1094"/>
      <c r="D4" s="1094"/>
      <c r="E4" s="1094"/>
      <c r="F4" s="999"/>
      <c r="G4" s="1069"/>
    </row>
    <row r="5" spans="1:8" x14ac:dyDescent="0.25">
      <c r="A5" s="16"/>
      <c r="B5" s="42" t="s">
        <v>278</v>
      </c>
      <c r="C5" s="42"/>
      <c r="D5" s="42"/>
      <c r="E5" s="42"/>
      <c r="F5" s="999"/>
      <c r="G5" s="1069"/>
    </row>
    <row r="6" spans="1:8" x14ac:dyDescent="0.25">
      <c r="A6" s="16"/>
      <c r="B6" s="1095"/>
      <c r="C6" s="1095"/>
      <c r="D6" s="1095"/>
      <c r="E6" s="1095"/>
      <c r="F6" s="999"/>
      <c r="G6" s="1069"/>
    </row>
    <row r="7" spans="1:8" ht="39" customHeight="1" thickBot="1" x14ac:dyDescent="0.3">
      <c r="A7" s="16"/>
      <c r="B7" s="16"/>
      <c r="C7" s="1091" t="s">
        <v>665</v>
      </c>
      <c r="D7" s="1091"/>
      <c r="E7" s="1091"/>
      <c r="F7" s="1091"/>
      <c r="G7" s="1055"/>
      <c r="H7"/>
    </row>
    <row r="8" spans="1:8" ht="31.5" x14ac:dyDescent="0.25">
      <c r="A8" s="16"/>
      <c r="B8" s="1025"/>
      <c r="C8" s="1027"/>
      <c r="D8" s="1006"/>
      <c r="E8" s="1007">
        <v>2200</v>
      </c>
      <c r="F8" s="1007">
        <v>3200</v>
      </c>
      <c r="G8" s="1070" t="s">
        <v>616</v>
      </c>
      <c r="H8"/>
    </row>
    <row r="9" spans="1:8" ht="57" x14ac:dyDescent="0.25">
      <c r="A9" s="16"/>
      <c r="B9" s="1026"/>
      <c r="C9" s="1028" t="s">
        <v>755</v>
      </c>
      <c r="D9" s="934" t="s">
        <v>744</v>
      </c>
      <c r="E9" s="1009" t="s">
        <v>745</v>
      </c>
      <c r="F9" s="1009" t="s">
        <v>331</v>
      </c>
      <c r="G9" s="1071" t="s">
        <v>617</v>
      </c>
      <c r="H9"/>
    </row>
    <row r="10" spans="1:8" ht="15.75" customHeight="1" x14ac:dyDescent="0.25">
      <c r="A10" s="16"/>
      <c r="B10" s="1008">
        <v>1</v>
      </c>
      <c r="C10" s="935" t="s">
        <v>94</v>
      </c>
      <c r="D10" s="935" t="s">
        <v>103</v>
      </c>
      <c r="E10" s="1010"/>
      <c r="F10" s="1011">
        <v>195000</v>
      </c>
      <c r="G10" s="1071">
        <f>E10+F10</f>
        <v>195000</v>
      </c>
      <c r="H10"/>
    </row>
    <row r="11" spans="1:8" ht="15.95" customHeight="1" x14ac:dyDescent="0.25">
      <c r="A11" s="16"/>
      <c r="B11" s="1008">
        <v>2</v>
      </c>
      <c r="C11" s="935" t="s">
        <v>618</v>
      </c>
      <c r="D11" s="935" t="s">
        <v>69</v>
      </c>
      <c r="E11" s="1010"/>
      <c r="F11" s="1011">
        <v>10000</v>
      </c>
      <c r="G11" s="1071">
        <f t="shared" ref="G11:G73" si="0">E11+F11</f>
        <v>10000</v>
      </c>
      <c r="H11"/>
    </row>
    <row r="12" spans="1:8" ht="15.95" customHeight="1" x14ac:dyDescent="0.25">
      <c r="A12" s="16"/>
      <c r="B12" s="1008">
        <v>3</v>
      </c>
      <c r="C12" s="935" t="s">
        <v>118</v>
      </c>
      <c r="D12" s="935" t="s">
        <v>64</v>
      </c>
      <c r="E12" s="1010"/>
      <c r="F12" s="1011">
        <v>50000</v>
      </c>
      <c r="G12" s="1071">
        <f t="shared" si="0"/>
        <v>50000</v>
      </c>
      <c r="H12"/>
    </row>
    <row r="13" spans="1:8" ht="15.95" customHeight="1" x14ac:dyDescent="0.25">
      <c r="A13" s="16"/>
      <c r="B13" s="1008">
        <v>4</v>
      </c>
      <c r="C13" s="935" t="s">
        <v>619</v>
      </c>
      <c r="D13" s="935" t="s">
        <v>52</v>
      </c>
      <c r="E13" s="1010"/>
      <c r="F13" s="1011">
        <v>2000</v>
      </c>
      <c r="G13" s="1071">
        <f t="shared" si="0"/>
        <v>2000</v>
      </c>
      <c r="H13"/>
    </row>
    <row r="14" spans="1:8" ht="15.95" customHeight="1" x14ac:dyDescent="0.25">
      <c r="A14" s="16"/>
      <c r="B14" s="1008">
        <v>5</v>
      </c>
      <c r="C14" s="935" t="s">
        <v>620</v>
      </c>
      <c r="D14" s="935" t="s">
        <v>61</v>
      </c>
      <c r="E14" s="1012">
        <v>75000</v>
      </c>
      <c r="F14" s="1010"/>
      <c r="G14" s="1071">
        <f t="shared" si="0"/>
        <v>75000</v>
      </c>
      <c r="H14"/>
    </row>
    <row r="15" spans="1:8" ht="15.95" customHeight="1" x14ac:dyDescent="0.25">
      <c r="A15" s="16"/>
      <c r="B15" s="1008">
        <v>6</v>
      </c>
      <c r="C15" s="935" t="s">
        <v>621</v>
      </c>
      <c r="D15" s="935" t="s">
        <v>622</v>
      </c>
      <c r="E15" s="1012">
        <v>3000</v>
      </c>
      <c r="F15" s="1010"/>
      <c r="G15" s="1071">
        <f t="shared" si="0"/>
        <v>3000</v>
      </c>
      <c r="H15"/>
    </row>
    <row r="16" spans="1:8" ht="15.95" customHeight="1" x14ac:dyDescent="0.25">
      <c r="A16" s="16"/>
      <c r="B16" s="1008">
        <v>7</v>
      </c>
      <c r="C16" s="987" t="s">
        <v>722</v>
      </c>
      <c r="D16" s="1013"/>
      <c r="E16" s="1014"/>
      <c r="F16" s="154">
        <v>50000</v>
      </c>
      <c r="G16" s="1071">
        <f t="shared" si="0"/>
        <v>50000</v>
      </c>
      <c r="H16" s="961"/>
    </row>
    <row r="17" spans="1:8" ht="15.95" customHeight="1" x14ac:dyDescent="0.25">
      <c r="A17" s="16"/>
      <c r="B17" s="1008">
        <v>8</v>
      </c>
      <c r="C17" s="261" t="s">
        <v>723</v>
      </c>
      <c r="D17" s="1024"/>
      <c r="E17" s="154"/>
      <c r="F17" s="154">
        <v>27115</v>
      </c>
      <c r="G17" s="1071">
        <f t="shared" si="0"/>
        <v>27115</v>
      </c>
      <c r="H17" s="961"/>
    </row>
    <row r="18" spans="1:8" ht="15.95" customHeight="1" x14ac:dyDescent="0.25">
      <c r="A18" s="16"/>
      <c r="B18" s="1008">
        <v>9</v>
      </c>
      <c r="C18" s="261" t="s">
        <v>746</v>
      </c>
      <c r="D18" s="261" t="s">
        <v>747</v>
      </c>
      <c r="E18" s="154"/>
      <c r="F18" s="154">
        <v>3960</v>
      </c>
      <c r="G18" s="1071">
        <f t="shared" si="0"/>
        <v>3960</v>
      </c>
      <c r="H18"/>
    </row>
    <row r="19" spans="1:8" ht="15.95" customHeight="1" x14ac:dyDescent="0.25">
      <c r="A19" s="16"/>
      <c r="B19" s="1008">
        <v>10</v>
      </c>
      <c r="C19" s="261" t="s">
        <v>748</v>
      </c>
      <c r="D19" s="261" t="s">
        <v>622</v>
      </c>
      <c r="E19" s="154"/>
      <c r="F19" s="154">
        <v>2520</v>
      </c>
      <c r="G19" s="1071">
        <f t="shared" si="0"/>
        <v>2520</v>
      </c>
      <c r="H19"/>
    </row>
    <row r="20" spans="1:8" ht="15.95" customHeight="1" x14ac:dyDescent="0.25">
      <c r="A20" s="16"/>
      <c r="B20" s="1008">
        <v>11</v>
      </c>
      <c r="C20" s="261" t="s">
        <v>628</v>
      </c>
      <c r="D20" s="261" t="s">
        <v>749</v>
      </c>
      <c r="E20" s="154"/>
      <c r="F20" s="154">
        <v>4320</v>
      </c>
      <c r="G20" s="1071">
        <f t="shared" si="0"/>
        <v>4320</v>
      </c>
      <c r="H20"/>
    </row>
    <row r="21" spans="1:8" ht="15.95" customHeight="1" x14ac:dyDescent="0.25">
      <c r="A21" s="16"/>
      <c r="B21" s="1008">
        <v>13</v>
      </c>
      <c r="C21" s="261" t="s">
        <v>750</v>
      </c>
      <c r="D21" s="261" t="s">
        <v>751</v>
      </c>
      <c r="E21" s="154"/>
      <c r="F21" s="154">
        <v>3600</v>
      </c>
      <c r="G21" s="1071">
        <f t="shared" si="0"/>
        <v>3600</v>
      </c>
      <c r="H21"/>
    </row>
    <row r="22" spans="1:8" ht="15.95" customHeight="1" x14ac:dyDescent="0.25">
      <c r="A22" s="16"/>
      <c r="B22" s="1008">
        <v>14</v>
      </c>
      <c r="C22" s="261" t="s">
        <v>724</v>
      </c>
      <c r="D22" s="261" t="s">
        <v>622</v>
      </c>
      <c r="E22" s="154"/>
      <c r="F22" s="154">
        <v>1600</v>
      </c>
      <c r="G22" s="1071">
        <f t="shared" si="0"/>
        <v>1600</v>
      </c>
      <c r="H22"/>
    </row>
    <row r="23" spans="1:8" ht="15.95" customHeight="1" x14ac:dyDescent="0.25">
      <c r="A23" s="16"/>
      <c r="B23" s="1008"/>
      <c r="C23" s="987"/>
      <c r="D23" s="1013"/>
      <c r="E23" s="1014"/>
      <c r="F23" s="1016"/>
      <c r="G23" s="1071"/>
      <c r="H23"/>
    </row>
    <row r="24" spans="1:8" ht="15.95" customHeight="1" x14ac:dyDescent="0.25">
      <c r="A24" s="16"/>
      <c r="B24" s="1008"/>
      <c r="C24" s="1017" t="s">
        <v>754</v>
      </c>
      <c r="D24" s="1015"/>
      <c r="E24" s="1010"/>
      <c r="F24" s="1010"/>
      <c r="G24" s="1071"/>
      <c r="H24"/>
    </row>
    <row r="25" spans="1:8" ht="15.95" customHeight="1" x14ac:dyDescent="0.25">
      <c r="A25" s="16"/>
      <c r="B25" s="1008">
        <v>1</v>
      </c>
      <c r="C25" s="935" t="s">
        <v>623</v>
      </c>
      <c r="D25" s="935" t="s">
        <v>332</v>
      </c>
      <c r="E25" s="1010"/>
      <c r="F25" s="1012">
        <v>1600</v>
      </c>
      <c r="G25" s="1071">
        <f t="shared" si="0"/>
        <v>1600</v>
      </c>
      <c r="H25"/>
    </row>
    <row r="26" spans="1:8" ht="15.95" customHeight="1" x14ac:dyDescent="0.25">
      <c r="A26" s="16"/>
      <c r="B26" s="1008">
        <v>2</v>
      </c>
      <c r="C26" s="935" t="s">
        <v>624</v>
      </c>
      <c r="D26" s="935" t="s">
        <v>119</v>
      </c>
      <c r="E26" s="1010"/>
      <c r="F26" s="1012">
        <v>2200</v>
      </c>
      <c r="G26" s="1071">
        <f t="shared" si="0"/>
        <v>2200</v>
      </c>
      <c r="H26"/>
    </row>
    <row r="27" spans="1:8" ht="15.95" customHeight="1" x14ac:dyDescent="0.25">
      <c r="A27" s="16"/>
      <c r="B27" s="1008">
        <v>3</v>
      </c>
      <c r="C27" s="935" t="s">
        <v>625</v>
      </c>
      <c r="D27" s="935" t="s">
        <v>626</v>
      </c>
      <c r="E27" s="1012">
        <v>2000</v>
      </c>
      <c r="F27" s="1010"/>
      <c r="G27" s="1071">
        <f t="shared" si="0"/>
        <v>2000</v>
      </c>
      <c r="H27"/>
    </row>
    <row r="28" spans="1:8" ht="15.95" customHeight="1" x14ac:dyDescent="0.25">
      <c r="A28" s="16"/>
      <c r="B28" s="1008">
        <v>4</v>
      </c>
      <c r="C28" s="935" t="s">
        <v>627</v>
      </c>
      <c r="D28" s="935" t="s">
        <v>104</v>
      </c>
      <c r="E28" s="1010"/>
      <c r="F28" s="1012">
        <v>700</v>
      </c>
      <c r="G28" s="1071">
        <f t="shared" si="0"/>
        <v>700</v>
      </c>
      <c r="H28"/>
    </row>
    <row r="29" spans="1:8" ht="15.95" customHeight="1" x14ac:dyDescent="0.25">
      <c r="A29" s="16"/>
      <c r="B29" s="1008">
        <v>5</v>
      </c>
      <c r="C29" s="935" t="s">
        <v>628</v>
      </c>
      <c r="D29" s="935" t="s">
        <v>629</v>
      </c>
      <c r="E29" s="1012">
        <v>10000</v>
      </c>
      <c r="F29" s="1010"/>
      <c r="G29" s="1071">
        <f t="shared" si="0"/>
        <v>10000</v>
      </c>
      <c r="H29"/>
    </row>
    <row r="30" spans="1:8" x14ac:dyDescent="0.25">
      <c r="A30" s="16"/>
      <c r="B30" s="1008">
        <v>6</v>
      </c>
      <c r="C30" s="935" t="s">
        <v>630</v>
      </c>
      <c r="D30" s="935" t="s">
        <v>95</v>
      </c>
      <c r="E30" s="1010"/>
      <c r="F30" s="1012">
        <v>800</v>
      </c>
      <c r="G30" s="1071">
        <f t="shared" si="0"/>
        <v>800</v>
      </c>
      <c r="H30"/>
    </row>
    <row r="31" spans="1:8" ht="15.95" customHeight="1" x14ac:dyDescent="0.25">
      <c r="A31" s="16"/>
      <c r="B31" s="1008">
        <v>7</v>
      </c>
      <c r="C31" s="935" t="s">
        <v>631</v>
      </c>
      <c r="D31" s="935" t="s">
        <v>95</v>
      </c>
      <c r="E31" s="1010"/>
      <c r="F31" s="1012">
        <v>500</v>
      </c>
      <c r="G31" s="1071">
        <f t="shared" si="0"/>
        <v>500</v>
      </c>
      <c r="H31"/>
    </row>
    <row r="32" spans="1:8" ht="15.95" customHeight="1" x14ac:dyDescent="0.25">
      <c r="A32" s="16"/>
      <c r="B32" s="1008">
        <v>8</v>
      </c>
      <c r="C32" s="935" t="s">
        <v>623</v>
      </c>
      <c r="D32" s="935" t="s">
        <v>102</v>
      </c>
      <c r="E32" s="1010"/>
      <c r="F32" s="1012">
        <v>1600</v>
      </c>
      <c r="G32" s="1071">
        <f t="shared" si="0"/>
        <v>1600</v>
      </c>
      <c r="H32"/>
    </row>
    <row r="33" spans="1:8" ht="15.95" customHeight="1" x14ac:dyDescent="0.25">
      <c r="A33" s="16"/>
      <c r="B33" s="1008">
        <v>9</v>
      </c>
      <c r="C33" s="935" t="s">
        <v>756</v>
      </c>
      <c r="D33" s="935" t="s">
        <v>371</v>
      </c>
      <c r="E33" s="1010"/>
      <c r="F33" s="1012">
        <v>700</v>
      </c>
      <c r="G33" s="1071">
        <f t="shared" si="0"/>
        <v>700</v>
      </c>
      <c r="H33"/>
    </row>
    <row r="34" spans="1:8" ht="15.95" customHeight="1" x14ac:dyDescent="0.25">
      <c r="A34" s="16"/>
      <c r="B34" s="1008">
        <v>10</v>
      </c>
      <c r="C34" s="935" t="s">
        <v>632</v>
      </c>
      <c r="D34" s="935" t="s">
        <v>633</v>
      </c>
      <c r="E34" s="1010"/>
      <c r="F34" s="1012">
        <v>1200</v>
      </c>
      <c r="G34" s="1071">
        <f t="shared" si="0"/>
        <v>1200</v>
      </c>
      <c r="H34"/>
    </row>
    <row r="35" spans="1:8" ht="16.5" customHeight="1" x14ac:dyDescent="0.25">
      <c r="A35" s="16"/>
      <c r="B35" s="1008">
        <v>11</v>
      </c>
      <c r="C35" s="935" t="s">
        <v>634</v>
      </c>
      <c r="D35" s="935" t="s">
        <v>65</v>
      </c>
      <c r="E35" s="1012">
        <v>1600</v>
      </c>
      <c r="F35" s="1010"/>
      <c r="G35" s="1071">
        <f t="shared" si="0"/>
        <v>1600</v>
      </c>
      <c r="H35"/>
    </row>
    <row r="36" spans="1:8" ht="15.95" customHeight="1" x14ac:dyDescent="0.25">
      <c r="A36" s="16"/>
      <c r="B36" s="1018">
        <v>12</v>
      </c>
      <c r="C36" s="261" t="s">
        <v>725</v>
      </c>
      <c r="D36" s="261" t="s">
        <v>726</v>
      </c>
      <c r="E36" s="154"/>
      <c r="F36" s="154">
        <v>1600</v>
      </c>
      <c r="G36" s="1071">
        <f t="shared" si="0"/>
        <v>1600</v>
      </c>
      <c r="H36"/>
    </row>
    <row r="37" spans="1:8" ht="15.95" customHeight="1" x14ac:dyDescent="0.25">
      <c r="A37" s="16"/>
      <c r="B37" s="1008"/>
      <c r="C37" s="1017" t="s">
        <v>635</v>
      </c>
      <c r="D37" s="1015"/>
      <c r="E37" s="1010"/>
      <c r="F37" s="1010"/>
      <c r="G37" s="1071"/>
      <c r="H37"/>
    </row>
    <row r="38" spans="1:8" ht="16.5" customHeight="1" x14ac:dyDescent="0.25">
      <c r="A38" s="16"/>
      <c r="B38" s="1008">
        <v>1</v>
      </c>
      <c r="C38" s="935" t="s">
        <v>757</v>
      </c>
      <c r="D38" s="935" t="s">
        <v>636</v>
      </c>
      <c r="E38" s="1012">
        <v>2000</v>
      </c>
      <c r="F38" s="1010"/>
      <c r="G38" s="1071">
        <f t="shared" si="0"/>
        <v>2000</v>
      </c>
      <c r="H38"/>
    </row>
    <row r="39" spans="1:8" ht="15.95" customHeight="1" x14ac:dyDescent="0.25">
      <c r="A39" s="16"/>
      <c r="B39" s="1008">
        <v>2</v>
      </c>
      <c r="C39" s="935" t="s">
        <v>637</v>
      </c>
      <c r="D39" s="935" t="s">
        <v>102</v>
      </c>
      <c r="E39" s="1012">
        <v>3000</v>
      </c>
      <c r="F39" s="1010"/>
      <c r="G39" s="1071">
        <f t="shared" si="0"/>
        <v>3000</v>
      </c>
      <c r="H39"/>
    </row>
    <row r="40" spans="1:8" ht="15.95" customHeight="1" x14ac:dyDescent="0.25">
      <c r="A40" s="16"/>
      <c r="B40" s="1008">
        <v>3</v>
      </c>
      <c r="C40" s="935" t="s">
        <v>758</v>
      </c>
      <c r="D40" s="935" t="s">
        <v>96</v>
      </c>
      <c r="E40" s="1012">
        <v>800</v>
      </c>
      <c r="F40" s="1010"/>
      <c r="G40" s="1071">
        <f t="shared" si="0"/>
        <v>800</v>
      </c>
      <c r="H40"/>
    </row>
    <row r="41" spans="1:8" ht="15.95" customHeight="1" x14ac:dyDescent="0.25">
      <c r="A41" s="16"/>
      <c r="B41" s="1008">
        <v>4</v>
      </c>
      <c r="C41" s="935" t="s">
        <v>759</v>
      </c>
      <c r="D41" s="935" t="s">
        <v>96</v>
      </c>
      <c r="E41" s="1012">
        <v>4900</v>
      </c>
      <c r="F41" s="1010"/>
      <c r="G41" s="1071">
        <f t="shared" si="0"/>
        <v>4900</v>
      </c>
      <c r="H41"/>
    </row>
    <row r="42" spans="1:8" ht="15.95" customHeight="1" x14ac:dyDescent="0.25">
      <c r="A42" s="16"/>
      <c r="B42" s="1008">
        <v>5</v>
      </c>
      <c r="C42" s="987" t="s">
        <v>638</v>
      </c>
      <c r="D42" s="987" t="s">
        <v>96</v>
      </c>
      <c r="E42" s="1011">
        <v>23072</v>
      </c>
      <c r="F42" s="1011">
        <v>9100</v>
      </c>
      <c r="G42" s="1071">
        <f t="shared" si="0"/>
        <v>32172</v>
      </c>
      <c r="H42"/>
    </row>
    <row r="43" spans="1:8" ht="15.95" customHeight="1" x14ac:dyDescent="0.25">
      <c r="A43" s="16"/>
      <c r="B43" s="1008"/>
      <c r="C43" s="1017" t="s">
        <v>752</v>
      </c>
      <c r="D43" s="1015"/>
      <c r="E43" s="1010"/>
      <c r="F43" s="1010"/>
      <c r="G43" s="1071"/>
      <c r="H43"/>
    </row>
    <row r="44" spans="1:8" ht="15.95" customHeight="1" x14ac:dyDescent="0.25">
      <c r="A44" s="16"/>
      <c r="B44" s="1008">
        <v>1</v>
      </c>
      <c r="C44" s="935" t="s">
        <v>760</v>
      </c>
      <c r="D44" s="1015"/>
      <c r="E44" s="1012">
        <v>2420</v>
      </c>
      <c r="F44" s="1010"/>
      <c r="G44" s="1071">
        <f t="shared" si="0"/>
        <v>2420</v>
      </c>
      <c r="H44"/>
    </row>
    <row r="45" spans="1:8" ht="15.95" customHeight="1" x14ac:dyDescent="0.25">
      <c r="A45" s="16"/>
      <c r="B45" s="1008">
        <v>2</v>
      </c>
      <c r="C45" s="935" t="s">
        <v>753</v>
      </c>
      <c r="D45" s="1015"/>
      <c r="E45" s="1012">
        <v>1920</v>
      </c>
      <c r="F45" s="1010"/>
      <c r="G45" s="1071">
        <f t="shared" si="0"/>
        <v>1920</v>
      </c>
      <c r="H45"/>
    </row>
    <row r="46" spans="1:8" ht="15.95" customHeight="1" x14ac:dyDescent="0.25">
      <c r="A46" s="16"/>
      <c r="B46" s="1008"/>
      <c r="C46" s="934" t="s">
        <v>639</v>
      </c>
      <c r="D46" s="935" t="s">
        <v>96</v>
      </c>
      <c r="E46" s="1010"/>
      <c r="F46" s="1010"/>
      <c r="G46" s="1071"/>
      <c r="H46"/>
    </row>
    <row r="47" spans="1:8" ht="15.95" customHeight="1" x14ac:dyDescent="0.25">
      <c r="A47" s="16"/>
      <c r="B47" s="1008" t="s">
        <v>640</v>
      </c>
      <c r="C47" s="935" t="s">
        <v>236</v>
      </c>
      <c r="D47" s="935" t="s">
        <v>95</v>
      </c>
      <c r="E47" s="1010"/>
      <c r="F47" s="1012">
        <v>1500</v>
      </c>
      <c r="G47" s="1071">
        <f t="shared" si="0"/>
        <v>1500</v>
      </c>
      <c r="H47"/>
    </row>
    <row r="48" spans="1:8" ht="15.95" customHeight="1" x14ac:dyDescent="0.25">
      <c r="A48" s="16"/>
      <c r="B48" s="1008" t="s">
        <v>641</v>
      </c>
      <c r="C48" s="935" t="s">
        <v>642</v>
      </c>
      <c r="D48" s="935" t="s">
        <v>95</v>
      </c>
      <c r="E48" s="1010"/>
      <c r="F48" s="1012">
        <v>1500</v>
      </c>
      <c r="G48" s="1071">
        <f t="shared" si="0"/>
        <v>1500</v>
      </c>
      <c r="H48"/>
    </row>
    <row r="49" spans="1:8" ht="15.95" customHeight="1" x14ac:dyDescent="0.25">
      <c r="A49" s="16"/>
      <c r="B49" s="1008" t="s">
        <v>643</v>
      </c>
      <c r="C49" s="935" t="s">
        <v>644</v>
      </c>
      <c r="D49" s="935" t="s">
        <v>95</v>
      </c>
      <c r="E49" s="1010"/>
      <c r="F49" s="1012">
        <v>1500</v>
      </c>
      <c r="G49" s="1071">
        <f t="shared" si="0"/>
        <v>1500</v>
      </c>
      <c r="H49"/>
    </row>
    <row r="50" spans="1:8" ht="15.95" customHeight="1" x14ac:dyDescent="0.25">
      <c r="A50" s="16"/>
      <c r="B50" s="1008" t="s">
        <v>645</v>
      </c>
      <c r="C50" s="935" t="s">
        <v>646</v>
      </c>
      <c r="D50" s="935" t="s">
        <v>95</v>
      </c>
      <c r="E50" s="1010"/>
      <c r="F50" s="1012">
        <v>1000</v>
      </c>
      <c r="G50" s="1071">
        <f t="shared" si="0"/>
        <v>1000</v>
      </c>
      <c r="H50"/>
    </row>
    <row r="51" spans="1:8" ht="15.95" customHeight="1" x14ac:dyDescent="0.25">
      <c r="A51" s="16"/>
      <c r="B51" s="1008" t="s">
        <v>645</v>
      </c>
      <c r="C51" s="935" t="s">
        <v>333</v>
      </c>
      <c r="D51" s="935" t="s">
        <v>95</v>
      </c>
      <c r="E51" s="1010"/>
      <c r="F51" s="1012">
        <v>1000</v>
      </c>
      <c r="G51" s="1071">
        <f t="shared" si="0"/>
        <v>1000</v>
      </c>
      <c r="H51"/>
    </row>
    <row r="52" spans="1:8" ht="15.95" customHeight="1" x14ac:dyDescent="0.25">
      <c r="A52" s="16"/>
      <c r="B52" s="1008" t="s">
        <v>640</v>
      </c>
      <c r="C52" s="935" t="s">
        <v>237</v>
      </c>
      <c r="D52" s="935" t="s">
        <v>95</v>
      </c>
      <c r="E52" s="1010"/>
      <c r="F52" s="1012">
        <v>1500</v>
      </c>
      <c r="G52" s="1071">
        <f t="shared" si="0"/>
        <v>1500</v>
      </c>
      <c r="H52"/>
    </row>
    <row r="53" spans="1:8" ht="15.95" customHeight="1" x14ac:dyDescent="0.25">
      <c r="A53" s="16"/>
      <c r="B53" s="1008" t="s">
        <v>640</v>
      </c>
      <c r="C53" s="935" t="s">
        <v>334</v>
      </c>
      <c r="D53" s="935" t="s">
        <v>95</v>
      </c>
      <c r="E53" s="1010"/>
      <c r="F53" s="1012">
        <v>1500</v>
      </c>
      <c r="G53" s="1071">
        <f t="shared" si="0"/>
        <v>1500</v>
      </c>
      <c r="H53"/>
    </row>
    <row r="54" spans="1:8" ht="15" customHeight="1" x14ac:dyDescent="0.25">
      <c r="A54" s="16"/>
      <c r="B54" s="1008" t="s">
        <v>640</v>
      </c>
      <c r="C54" s="935" t="s">
        <v>275</v>
      </c>
      <c r="D54" s="935" t="s">
        <v>95</v>
      </c>
      <c r="E54" s="1010"/>
      <c r="F54" s="1012">
        <v>1500</v>
      </c>
      <c r="G54" s="1071">
        <f t="shared" si="0"/>
        <v>1500</v>
      </c>
      <c r="H54"/>
    </row>
    <row r="55" spans="1:8" ht="15.95" customHeight="1" x14ac:dyDescent="0.25">
      <c r="A55" s="16"/>
      <c r="B55" s="1008" t="s">
        <v>645</v>
      </c>
      <c r="C55" s="935" t="s">
        <v>647</v>
      </c>
      <c r="D55" s="935" t="s">
        <v>95</v>
      </c>
      <c r="E55" s="1010"/>
      <c r="F55" s="1012">
        <v>1000</v>
      </c>
      <c r="G55" s="1071">
        <f t="shared" si="0"/>
        <v>1000</v>
      </c>
      <c r="H55"/>
    </row>
    <row r="56" spans="1:8" ht="15.95" customHeight="1" x14ac:dyDescent="0.25">
      <c r="A56" s="16"/>
      <c r="B56" s="1008" t="s">
        <v>648</v>
      </c>
      <c r="C56" s="935" t="s">
        <v>649</v>
      </c>
      <c r="D56" s="935" t="s">
        <v>95</v>
      </c>
      <c r="E56" s="1010"/>
      <c r="F56" s="1012">
        <v>1000</v>
      </c>
      <c r="G56" s="1071">
        <f t="shared" si="0"/>
        <v>1000</v>
      </c>
      <c r="H56"/>
    </row>
    <row r="57" spans="1:8" ht="15.95" customHeight="1" x14ac:dyDescent="0.25">
      <c r="A57" s="16"/>
      <c r="B57" s="1008" t="s">
        <v>640</v>
      </c>
      <c r="C57" s="935" t="s">
        <v>650</v>
      </c>
      <c r="D57" s="935" t="s">
        <v>651</v>
      </c>
      <c r="E57" s="1010"/>
      <c r="F57" s="1012">
        <v>1200</v>
      </c>
      <c r="G57" s="1071">
        <f t="shared" si="0"/>
        <v>1200</v>
      </c>
      <c r="H57"/>
    </row>
    <row r="58" spans="1:8" ht="15.95" customHeight="1" x14ac:dyDescent="0.25">
      <c r="A58" s="16"/>
      <c r="B58" s="1008" t="s">
        <v>652</v>
      </c>
      <c r="C58" s="935" t="s">
        <v>653</v>
      </c>
      <c r="D58" s="935" t="s">
        <v>654</v>
      </c>
      <c r="E58" s="1010"/>
      <c r="F58" s="1012">
        <v>500</v>
      </c>
      <c r="G58" s="1071">
        <f t="shared" si="0"/>
        <v>500</v>
      </c>
      <c r="H58"/>
    </row>
    <row r="59" spans="1:8" ht="15.95" customHeight="1" x14ac:dyDescent="0.25">
      <c r="A59" s="16"/>
      <c r="B59" s="1008" t="s">
        <v>652</v>
      </c>
      <c r="C59" s="935" t="s">
        <v>655</v>
      </c>
      <c r="D59" s="935" t="s">
        <v>654</v>
      </c>
      <c r="E59" s="1010"/>
      <c r="F59" s="1012">
        <v>500</v>
      </c>
      <c r="G59" s="1071">
        <f t="shared" si="0"/>
        <v>500</v>
      </c>
      <c r="H59"/>
    </row>
    <row r="60" spans="1:8" ht="15.95" customHeight="1" x14ac:dyDescent="0.25">
      <c r="A60" s="16"/>
      <c r="B60" s="1008" t="s">
        <v>648</v>
      </c>
      <c r="C60" s="935" t="s">
        <v>335</v>
      </c>
      <c r="D60" s="935" t="s">
        <v>656</v>
      </c>
      <c r="E60" s="1010"/>
      <c r="F60" s="1012">
        <v>1000</v>
      </c>
      <c r="G60" s="1071">
        <f t="shared" si="0"/>
        <v>1000</v>
      </c>
      <c r="H60"/>
    </row>
    <row r="61" spans="1:8" ht="15.95" customHeight="1" x14ac:dyDescent="0.25">
      <c r="A61" s="16"/>
      <c r="B61" s="1008" t="s">
        <v>648</v>
      </c>
      <c r="C61" s="935" t="s">
        <v>657</v>
      </c>
      <c r="D61" s="935" t="s">
        <v>656</v>
      </c>
      <c r="E61" s="1010"/>
      <c r="F61" s="1012">
        <v>1000</v>
      </c>
      <c r="G61" s="1071">
        <f t="shared" si="0"/>
        <v>1000</v>
      </c>
      <c r="H61"/>
    </row>
    <row r="62" spans="1:8" ht="15.95" customHeight="1" x14ac:dyDescent="0.25">
      <c r="A62" s="16"/>
      <c r="B62" s="1008" t="s">
        <v>658</v>
      </c>
      <c r="C62" s="935" t="s">
        <v>200</v>
      </c>
      <c r="D62" s="935" t="s">
        <v>119</v>
      </c>
      <c r="E62" s="1010"/>
      <c r="F62" s="1012">
        <v>300</v>
      </c>
      <c r="G62" s="1071">
        <f t="shared" si="0"/>
        <v>300</v>
      </c>
      <c r="H62"/>
    </row>
    <row r="63" spans="1:8" ht="15.95" customHeight="1" x14ac:dyDescent="0.25">
      <c r="A63" s="16"/>
      <c r="B63" s="1008" t="s">
        <v>648</v>
      </c>
      <c r="C63" s="935" t="s">
        <v>277</v>
      </c>
      <c r="D63" s="935" t="s">
        <v>119</v>
      </c>
      <c r="E63" s="1010"/>
      <c r="F63" s="1012">
        <v>1000</v>
      </c>
      <c r="G63" s="1071">
        <f t="shared" si="0"/>
        <v>1000</v>
      </c>
      <c r="H63"/>
    </row>
    <row r="64" spans="1:8" ht="15.95" customHeight="1" x14ac:dyDescent="0.25">
      <c r="A64" s="16"/>
      <c r="B64" s="1008" t="s">
        <v>648</v>
      </c>
      <c r="C64" s="935" t="s">
        <v>210</v>
      </c>
      <c r="D64" s="935" t="s">
        <v>119</v>
      </c>
      <c r="E64" s="1010"/>
      <c r="F64" s="1012">
        <v>1000</v>
      </c>
      <c r="G64" s="1071">
        <f t="shared" si="0"/>
        <v>1000</v>
      </c>
      <c r="H64"/>
    </row>
    <row r="65" spans="1:8" ht="15.95" customHeight="1" x14ac:dyDescent="0.25">
      <c r="A65" s="16"/>
      <c r="B65" s="1008" t="s">
        <v>659</v>
      </c>
      <c r="C65" s="935" t="s">
        <v>660</v>
      </c>
      <c r="D65" s="935" t="s">
        <v>119</v>
      </c>
      <c r="E65" s="1010"/>
      <c r="F65" s="1012">
        <v>300</v>
      </c>
      <c r="G65" s="1071">
        <f t="shared" si="0"/>
        <v>300</v>
      </c>
      <c r="H65"/>
    </row>
    <row r="66" spans="1:8" ht="15.95" customHeight="1" x14ac:dyDescent="0.25">
      <c r="A66" s="16"/>
      <c r="B66" s="1008" t="s">
        <v>652</v>
      </c>
      <c r="C66" s="935" t="s">
        <v>97</v>
      </c>
      <c r="D66" s="935" t="s">
        <v>102</v>
      </c>
      <c r="E66" s="1010"/>
      <c r="F66" s="1012">
        <v>1000</v>
      </c>
      <c r="G66" s="1071">
        <f t="shared" si="0"/>
        <v>1000</v>
      </c>
      <c r="H66"/>
    </row>
    <row r="67" spans="1:8" x14ac:dyDescent="0.25">
      <c r="A67" s="16"/>
      <c r="B67" s="1008" t="s">
        <v>652</v>
      </c>
      <c r="C67" s="935" t="s">
        <v>276</v>
      </c>
      <c r="D67" s="935" t="s">
        <v>102</v>
      </c>
      <c r="E67" s="1010"/>
      <c r="F67" s="1012">
        <v>1000</v>
      </c>
      <c r="G67" s="1071">
        <f t="shared" si="0"/>
        <v>1000</v>
      </c>
      <c r="H67" s="449"/>
    </row>
    <row r="68" spans="1:8" x14ac:dyDescent="0.25">
      <c r="A68" s="16"/>
      <c r="B68" s="1008" t="s">
        <v>652</v>
      </c>
      <c r="C68" s="935" t="s">
        <v>98</v>
      </c>
      <c r="D68" s="935" t="s">
        <v>102</v>
      </c>
      <c r="E68" s="1010"/>
      <c r="F68" s="1012">
        <v>1000</v>
      </c>
      <c r="G68" s="1071">
        <f t="shared" si="0"/>
        <v>1000</v>
      </c>
      <c r="H68" s="433"/>
    </row>
    <row r="69" spans="1:8" x14ac:dyDescent="0.25">
      <c r="A69" s="16"/>
      <c r="B69" s="1008" t="s">
        <v>661</v>
      </c>
      <c r="C69" s="935" t="s">
        <v>336</v>
      </c>
      <c r="D69" s="935" t="s">
        <v>102</v>
      </c>
      <c r="E69" s="1010"/>
      <c r="F69" s="1012">
        <v>300</v>
      </c>
      <c r="G69" s="1071">
        <f t="shared" si="0"/>
        <v>300</v>
      </c>
    </row>
    <row r="70" spans="1:8" x14ac:dyDescent="0.25">
      <c r="A70" s="16"/>
      <c r="B70" s="1008" t="s">
        <v>640</v>
      </c>
      <c r="C70" s="935" t="s">
        <v>662</v>
      </c>
      <c r="D70" s="935" t="s">
        <v>371</v>
      </c>
      <c r="E70" s="1010"/>
      <c r="F70" s="1012">
        <v>1500</v>
      </c>
      <c r="G70" s="1071">
        <f t="shared" si="0"/>
        <v>1500</v>
      </c>
    </row>
    <row r="71" spans="1:8" x14ac:dyDescent="0.25">
      <c r="B71" s="1008" t="s">
        <v>652</v>
      </c>
      <c r="C71" s="1019" t="s">
        <v>727</v>
      </c>
      <c r="D71" s="987" t="s">
        <v>728</v>
      </c>
      <c r="E71" s="987"/>
      <c r="F71" s="1000">
        <v>800</v>
      </c>
      <c r="G71" s="1071">
        <f t="shared" si="0"/>
        <v>800</v>
      </c>
      <c r="H71"/>
    </row>
    <row r="72" spans="1:8" x14ac:dyDescent="0.25">
      <c r="B72" s="1008" t="s">
        <v>648</v>
      </c>
      <c r="C72" s="935" t="s">
        <v>729</v>
      </c>
      <c r="D72" s="935" t="s">
        <v>626</v>
      </c>
      <c r="E72" s="1010"/>
      <c r="F72" s="1012">
        <v>1000</v>
      </c>
      <c r="G72" s="1071">
        <f t="shared" si="0"/>
        <v>1000</v>
      </c>
      <c r="H72"/>
    </row>
    <row r="73" spans="1:8" ht="15" customHeight="1" thickBot="1" x14ac:dyDescent="0.3">
      <c r="B73" s="1020" t="s">
        <v>640</v>
      </c>
      <c r="C73" s="1021" t="s">
        <v>373</v>
      </c>
      <c r="D73" s="1066" t="s">
        <v>663</v>
      </c>
      <c r="E73" s="1067"/>
      <c r="F73" s="1068">
        <v>1500</v>
      </c>
      <c r="G73" s="1072">
        <f t="shared" si="0"/>
        <v>1500</v>
      </c>
      <c r="H73"/>
    </row>
    <row r="74" spans="1:8" ht="16.5" thickBot="1" x14ac:dyDescent="0.3">
      <c r="B74" s="1022"/>
      <c r="C74" s="1023"/>
      <c r="D74" s="1031" t="s">
        <v>547</v>
      </c>
      <c r="E74" s="1029">
        <f>SUM(E10:E73)</f>
        <v>129712</v>
      </c>
      <c r="F74" s="1029">
        <f>SUM(F10:F73)</f>
        <v>398015</v>
      </c>
      <c r="G74" s="1030">
        <f>SUM(G10:G73)</f>
        <v>527727</v>
      </c>
      <c r="H74"/>
    </row>
    <row r="75" spans="1:8" x14ac:dyDescent="0.25">
      <c r="D75" s="450"/>
      <c r="E75"/>
      <c r="F75"/>
      <c r="G75" s="290"/>
      <c r="H75"/>
    </row>
    <row r="76" spans="1:8" ht="15" x14ac:dyDescent="0.25">
      <c r="C76" s="8" t="s">
        <v>123</v>
      </c>
      <c r="D76" s="2"/>
      <c r="E76" s="2" t="s">
        <v>38</v>
      </c>
      <c r="F76"/>
      <c r="G76" s="290"/>
      <c r="H76"/>
    </row>
    <row r="77" spans="1:8" x14ac:dyDescent="0.25">
      <c r="D77" s="450"/>
      <c r="E77"/>
      <c r="F77"/>
      <c r="G77" s="290"/>
      <c r="H77"/>
    </row>
    <row r="78" spans="1:8" x14ac:dyDescent="0.25">
      <c r="D78" s="450"/>
      <c r="E78"/>
      <c r="F78"/>
      <c r="G78" s="290"/>
      <c r="H78"/>
    </row>
    <row r="79" spans="1:8" x14ac:dyDescent="0.25">
      <c r="D79" s="450"/>
      <c r="E79"/>
      <c r="F79"/>
      <c r="G79" s="290"/>
      <c r="H79"/>
    </row>
    <row r="80" spans="1:8" x14ac:dyDescent="0.25">
      <c r="D80" s="450"/>
      <c r="E80"/>
      <c r="F80"/>
      <c r="G80" s="290"/>
      <c r="H80"/>
    </row>
  </sheetData>
  <mergeCells count="5">
    <mergeCell ref="C7:F7"/>
    <mergeCell ref="B2:E2"/>
    <mergeCell ref="B3:E3"/>
    <mergeCell ref="B4:E4"/>
    <mergeCell ref="B6:E6"/>
  </mergeCells>
  <pageMargins left="0.7" right="0.7" top="0.75" bottom="0.75" header="0.3" footer="0.3"/>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
  <sheetViews>
    <sheetView workbookViewId="0"/>
  </sheetViews>
  <sheetFormatPr defaultRowHeight="12.75" x14ac:dyDescent="0.2"/>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8"/>
  <sheetViews>
    <sheetView topLeftCell="B1" zoomScaleNormal="100" workbookViewId="0">
      <pane xSplit="2" ySplit="7" topLeftCell="D8" activePane="bottomRight" state="frozen"/>
      <selection activeCell="B1" sqref="B1"/>
      <selection pane="topRight" activeCell="D1" sqref="D1"/>
      <selection pane="bottomLeft" activeCell="B9" sqref="B9"/>
      <selection pane="bottomRight" activeCell="M18" sqref="M18"/>
    </sheetView>
  </sheetViews>
  <sheetFormatPr defaultColWidth="9.28515625" defaultRowHeight="15" x14ac:dyDescent="0.25"/>
  <cols>
    <col min="1" max="1" width="6" style="1" hidden="1" customWidth="1"/>
    <col min="2" max="2" width="6.28515625" style="1" customWidth="1"/>
    <col min="3" max="3" width="48.85546875" style="1" customWidth="1"/>
    <col min="4" max="5" width="8.7109375" style="1" customWidth="1"/>
    <col min="6" max="6" width="9.5703125" style="1" customWidth="1"/>
    <col min="7" max="7" width="8.7109375" style="1" customWidth="1"/>
    <col min="8" max="8" width="9.5703125" style="6" customWidth="1"/>
    <col min="9" max="10" width="9.28515625" style="1" customWidth="1"/>
    <col min="11" max="16384" width="9.28515625" style="1"/>
  </cols>
  <sheetData>
    <row r="1" spans="1:9" x14ac:dyDescent="0.25">
      <c r="C1" s="2" t="s">
        <v>0</v>
      </c>
      <c r="F1" s="6" t="s">
        <v>361</v>
      </c>
      <c r="H1" s="1"/>
    </row>
    <row r="3" spans="1:9" x14ac:dyDescent="0.25">
      <c r="A3" s="3"/>
      <c r="B3" s="3" t="s">
        <v>107</v>
      </c>
    </row>
    <row r="4" spans="1:9" x14ac:dyDescent="0.25">
      <c r="C4" s="3" t="s">
        <v>381</v>
      </c>
    </row>
    <row r="5" spans="1:9" x14ac:dyDescent="0.25">
      <c r="A5" s="3"/>
      <c r="B5" s="115" t="s">
        <v>108</v>
      </c>
      <c r="C5" s="116"/>
      <c r="D5" s="117" t="s">
        <v>316</v>
      </c>
      <c r="E5" s="117" t="s">
        <v>592</v>
      </c>
      <c r="F5" s="117" t="s">
        <v>593</v>
      </c>
      <c r="G5" s="117" t="s">
        <v>594</v>
      </c>
      <c r="H5" s="103" t="s">
        <v>188</v>
      </c>
    </row>
    <row r="6" spans="1:9" s="8" customFormat="1" ht="75.75" thickBot="1" x14ac:dyDescent="0.3">
      <c r="C6" s="118"/>
      <c r="D6" s="119" t="s">
        <v>510</v>
      </c>
      <c r="E6" s="119" t="s">
        <v>513</v>
      </c>
      <c r="F6" s="119" t="s">
        <v>511</v>
      </c>
      <c r="G6" s="119" t="s">
        <v>512</v>
      </c>
      <c r="H6" s="119" t="s">
        <v>306</v>
      </c>
    </row>
    <row r="7" spans="1:9" ht="39.75" customHeight="1" thickBot="1" x14ac:dyDescent="0.35">
      <c r="A7" s="121"/>
      <c r="B7" s="114" t="s">
        <v>7</v>
      </c>
      <c r="C7" s="122" t="s">
        <v>10</v>
      </c>
      <c r="D7" s="59" t="s">
        <v>382</v>
      </c>
      <c r="E7" s="59" t="s">
        <v>382</v>
      </c>
      <c r="F7" s="59" t="s">
        <v>382</v>
      </c>
      <c r="G7" s="59" t="s">
        <v>382</v>
      </c>
      <c r="H7" s="59" t="s">
        <v>382</v>
      </c>
    </row>
    <row r="8" spans="1:9" x14ac:dyDescent="0.25">
      <c r="A8" s="123"/>
      <c r="B8" s="124">
        <v>1100</v>
      </c>
      <c r="C8" s="125" t="s">
        <v>11</v>
      </c>
      <c r="D8" s="169">
        <v>364241</v>
      </c>
      <c r="E8" s="812">
        <v>46805</v>
      </c>
      <c r="F8" s="812">
        <v>145017</v>
      </c>
      <c r="G8" s="812">
        <v>161201</v>
      </c>
      <c r="H8" s="52">
        <v>413680</v>
      </c>
    </row>
    <row r="9" spans="1:9" ht="26.25" customHeight="1" x14ac:dyDescent="0.25">
      <c r="A9" s="129"/>
      <c r="B9" s="130">
        <v>1200</v>
      </c>
      <c r="C9" s="131" t="s">
        <v>12</v>
      </c>
      <c r="D9" s="68">
        <v>122973</v>
      </c>
      <c r="E9" s="132">
        <v>15223</v>
      </c>
      <c r="F9" s="132">
        <v>45698</v>
      </c>
      <c r="G9" s="132">
        <v>57264</v>
      </c>
      <c r="H9" s="191">
        <v>105713</v>
      </c>
    </row>
    <row r="10" spans="1:9" x14ac:dyDescent="0.25">
      <c r="A10" s="129"/>
      <c r="B10" s="130">
        <v>2000</v>
      </c>
      <c r="C10" s="77" t="s">
        <v>13</v>
      </c>
      <c r="D10" s="107">
        <f>SUM(D11:D15)</f>
        <v>140410</v>
      </c>
      <c r="E10" s="139">
        <f t="shared" ref="E10:G10" si="0">SUM(E11:E15)</f>
        <v>24350</v>
      </c>
      <c r="F10" s="139">
        <f t="shared" si="0"/>
        <v>62434</v>
      </c>
      <c r="G10" s="139">
        <f t="shared" si="0"/>
        <v>41566</v>
      </c>
      <c r="H10" s="139">
        <f>SUM(H11:H15)</f>
        <v>129749</v>
      </c>
    </row>
    <row r="11" spans="1:9" x14ac:dyDescent="0.25">
      <c r="A11" s="129"/>
      <c r="B11" s="130">
        <v>2100</v>
      </c>
      <c r="C11" s="77" t="s">
        <v>14</v>
      </c>
      <c r="D11" s="107">
        <v>3100</v>
      </c>
      <c r="E11" s="139">
        <v>140</v>
      </c>
      <c r="F11" s="139">
        <v>46</v>
      </c>
      <c r="G11" s="139">
        <v>100</v>
      </c>
      <c r="H11" s="140">
        <v>100</v>
      </c>
    </row>
    <row r="12" spans="1:9" x14ac:dyDescent="0.25">
      <c r="A12" s="129"/>
      <c r="B12" s="130">
        <v>2200</v>
      </c>
      <c r="C12" s="77" t="s">
        <v>15</v>
      </c>
      <c r="D12" s="133">
        <v>92150</v>
      </c>
      <c r="E12" s="140">
        <v>15365</v>
      </c>
      <c r="F12" s="140">
        <v>42827</v>
      </c>
      <c r="G12" s="140">
        <v>26726</v>
      </c>
      <c r="H12" s="140">
        <f>82753+8000</f>
        <v>90753</v>
      </c>
      <c r="I12" s="6"/>
    </row>
    <row r="13" spans="1:9" ht="30" x14ac:dyDescent="0.25">
      <c r="A13" s="129"/>
      <c r="B13" s="130">
        <v>2300</v>
      </c>
      <c r="C13" s="131" t="s">
        <v>16</v>
      </c>
      <c r="D13" s="133">
        <v>44960</v>
      </c>
      <c r="E13" s="140">
        <v>8845</v>
      </c>
      <c r="F13" s="140">
        <v>19561</v>
      </c>
      <c r="G13" s="140">
        <v>14690</v>
      </c>
      <c r="H13" s="140">
        <f>16990+21906</f>
        <v>38896</v>
      </c>
      <c r="I13" s="6"/>
    </row>
    <row r="14" spans="1:9" x14ac:dyDescent="0.25">
      <c r="A14" s="138"/>
      <c r="B14" s="66">
        <v>2400</v>
      </c>
      <c r="C14" s="77" t="s">
        <v>56</v>
      </c>
      <c r="D14" s="107">
        <v>200</v>
      </c>
      <c r="E14" s="139"/>
      <c r="F14" s="139"/>
      <c r="G14" s="139">
        <v>50</v>
      </c>
      <c r="H14" s="140"/>
    </row>
    <row r="15" spans="1:9" x14ac:dyDescent="0.25">
      <c r="A15" s="129"/>
      <c r="B15" s="130">
        <v>2500</v>
      </c>
      <c r="C15" s="77" t="s">
        <v>17</v>
      </c>
      <c r="D15" s="107"/>
      <c r="E15" s="139"/>
      <c r="F15" s="896"/>
      <c r="G15" s="139"/>
      <c r="H15" s="140"/>
    </row>
    <row r="16" spans="1:9" x14ac:dyDescent="0.25">
      <c r="A16" s="129"/>
      <c r="B16" s="130">
        <v>4200</v>
      </c>
      <c r="C16" s="77" t="s">
        <v>19</v>
      </c>
      <c r="D16" s="107"/>
      <c r="E16" s="139"/>
      <c r="F16" s="139"/>
      <c r="G16" s="139"/>
      <c r="H16" s="140"/>
    </row>
    <row r="17" spans="1:11" x14ac:dyDescent="0.25">
      <c r="A17" s="129"/>
      <c r="B17" s="130">
        <v>4300</v>
      </c>
      <c r="C17" s="77" t="s">
        <v>20</v>
      </c>
      <c r="D17" s="107"/>
      <c r="E17" s="139"/>
      <c r="F17" s="139"/>
      <c r="G17" s="139"/>
      <c r="H17" s="140"/>
    </row>
    <row r="18" spans="1:11" x14ac:dyDescent="0.25">
      <c r="A18" s="129"/>
      <c r="B18" s="130">
        <v>5100</v>
      </c>
      <c r="C18" s="77" t="s">
        <v>22</v>
      </c>
      <c r="D18" s="107"/>
      <c r="E18" s="139"/>
      <c r="F18" s="139"/>
      <c r="G18" s="139"/>
      <c r="H18" s="140">
        <v>11700</v>
      </c>
      <c r="K18" s="1" t="s">
        <v>246</v>
      </c>
    </row>
    <row r="19" spans="1:11" x14ac:dyDescent="0.25">
      <c r="A19" s="129"/>
      <c r="B19" s="130">
        <v>5200</v>
      </c>
      <c r="C19" s="77" t="s">
        <v>23</v>
      </c>
      <c r="D19" s="133">
        <f>15853+30000</f>
        <v>45853</v>
      </c>
      <c r="E19" s="140">
        <v>4600</v>
      </c>
      <c r="F19" s="140">
        <v>6176</v>
      </c>
      <c r="G19" s="140">
        <v>12050</v>
      </c>
      <c r="H19" s="140">
        <v>600</v>
      </c>
      <c r="J19" s="6"/>
      <c r="K19" s="6"/>
    </row>
    <row r="20" spans="1:11" x14ac:dyDescent="0.25">
      <c r="A20" s="129"/>
      <c r="B20" s="130">
        <v>6000</v>
      </c>
      <c r="C20" s="67" t="s">
        <v>53</v>
      </c>
      <c r="D20" s="137">
        <f t="shared" ref="D20:G20" si="1">SUM(D21:D23)</f>
        <v>0</v>
      </c>
      <c r="E20" s="136">
        <f t="shared" si="1"/>
        <v>0</v>
      </c>
      <c r="F20" s="136">
        <f t="shared" si="1"/>
        <v>610</v>
      </c>
      <c r="G20" s="136">
        <f t="shared" si="1"/>
        <v>0</v>
      </c>
      <c r="H20" s="136">
        <f>SUM(H21:H23)</f>
        <v>15560</v>
      </c>
    </row>
    <row r="21" spans="1:11" s="3" customFormat="1" x14ac:dyDescent="0.25">
      <c r="A21" s="129"/>
      <c r="B21" s="130">
        <v>6200</v>
      </c>
      <c r="C21" s="77" t="s">
        <v>24</v>
      </c>
      <c r="D21" s="200"/>
      <c r="E21" s="199"/>
      <c r="F21" s="199"/>
      <c r="G21" s="199"/>
      <c r="H21" s="140"/>
    </row>
    <row r="22" spans="1:11" x14ac:dyDescent="0.25">
      <c r="A22" s="129"/>
      <c r="B22" s="130">
        <v>6300</v>
      </c>
      <c r="C22" s="67" t="s">
        <v>54</v>
      </c>
      <c r="D22" s="137"/>
      <c r="E22" s="136"/>
      <c r="F22" s="136"/>
      <c r="G22" s="136"/>
      <c r="H22" s="401"/>
    </row>
    <row r="23" spans="1:11" ht="18" customHeight="1" x14ac:dyDescent="0.25">
      <c r="A23" s="129"/>
      <c r="B23" s="130">
        <v>6400</v>
      </c>
      <c r="C23" s="86" t="s">
        <v>70</v>
      </c>
      <c r="D23" s="137"/>
      <c r="E23" s="136"/>
      <c r="F23" s="136">
        <v>610</v>
      </c>
      <c r="G23" s="136"/>
      <c r="H23" s="140">
        <v>15560</v>
      </c>
    </row>
    <row r="24" spans="1:11" ht="15.75" thickBot="1" x14ac:dyDescent="0.3">
      <c r="A24" s="129"/>
      <c r="B24" s="130">
        <v>7200</v>
      </c>
      <c r="C24" s="77" t="s">
        <v>25</v>
      </c>
      <c r="D24" s="403"/>
      <c r="E24" s="812"/>
      <c r="F24" s="812"/>
      <c r="G24" s="812"/>
      <c r="H24" s="402"/>
    </row>
    <row r="25" spans="1:11" ht="16.5" thickBot="1" x14ac:dyDescent="0.3">
      <c r="A25" s="142"/>
      <c r="B25" s="143"/>
      <c r="C25" s="144" t="s">
        <v>26</v>
      </c>
      <c r="D25" s="145">
        <f>SUM(D8+D9+D10+D16+D17+D18+D19+D20+D24)</f>
        <v>673477</v>
      </c>
      <c r="E25" s="146">
        <f t="shared" ref="E25" si="2">SUM(E8+E9+E10+E16+E17+E18+E19+E21+E23+E24)</f>
        <v>90978</v>
      </c>
      <c r="F25" s="146">
        <f>SUM(F8+F9+F10+F16+F17+F18+F19+F20)</f>
        <v>259935</v>
      </c>
      <c r="G25" s="146">
        <f t="shared" ref="G25" si="3">SUM(G8+G9+G10+G16+G17+G18+G19+G20)</f>
        <v>272081</v>
      </c>
      <c r="H25" s="146">
        <f>SUM(H8+H9+H10+H16+H17+H18+H19+H20)</f>
        <v>677002</v>
      </c>
    </row>
    <row r="26" spans="1:11" x14ac:dyDescent="0.25">
      <c r="A26" s="4"/>
      <c r="B26" s="4"/>
      <c r="C26" s="98" t="s">
        <v>60</v>
      </c>
      <c r="D26" s="184">
        <v>545459</v>
      </c>
      <c r="E26" s="184">
        <v>92618</v>
      </c>
      <c r="F26" s="184">
        <v>185936</v>
      </c>
      <c r="G26" s="184">
        <v>177236</v>
      </c>
      <c r="H26" s="147"/>
    </row>
    <row r="27" spans="1:11" x14ac:dyDescent="0.25">
      <c r="A27" s="4"/>
      <c r="B27" s="4"/>
      <c r="C27" s="98" t="s">
        <v>374</v>
      </c>
      <c r="D27" s="184"/>
      <c r="E27" s="184"/>
      <c r="F27" s="184"/>
      <c r="G27" s="184"/>
      <c r="H27" s="147"/>
    </row>
    <row r="28" spans="1:11" x14ac:dyDescent="0.25">
      <c r="A28" s="4"/>
      <c r="B28" s="4"/>
      <c r="C28" s="98" t="s">
        <v>58</v>
      </c>
      <c r="D28" s="99">
        <v>18717</v>
      </c>
      <c r="E28" s="99"/>
      <c r="F28" s="99">
        <v>11474</v>
      </c>
      <c r="G28" s="99">
        <v>12906</v>
      </c>
      <c r="H28" s="147"/>
    </row>
    <row r="29" spans="1:11" x14ac:dyDescent="0.25">
      <c r="A29" s="4"/>
      <c r="B29" s="4"/>
      <c r="C29" s="98" t="s">
        <v>209</v>
      </c>
      <c r="D29" s="99">
        <v>1620</v>
      </c>
      <c r="E29" s="99"/>
      <c r="F29" s="99">
        <v>810</v>
      </c>
      <c r="G29" s="99"/>
      <c r="H29" s="147"/>
    </row>
    <row r="30" spans="1:11" x14ac:dyDescent="0.25">
      <c r="A30" s="4"/>
      <c r="B30" s="4"/>
      <c r="C30" s="148" t="s">
        <v>47</v>
      </c>
      <c r="D30" s="101">
        <f>SUM(D25:D29)</f>
        <v>1239273</v>
      </c>
      <c r="E30" s="101">
        <f t="shared" ref="E30:G30" si="4">SUM(E25:E29)</f>
        <v>183596</v>
      </c>
      <c r="F30" s="101">
        <f>SUM(F25:F29)</f>
        <v>458155</v>
      </c>
      <c r="G30" s="101">
        <f t="shared" si="4"/>
        <v>462223</v>
      </c>
      <c r="H30" s="101">
        <f>SUM(H25:H28)</f>
        <v>677002</v>
      </c>
    </row>
    <row r="31" spans="1:11" x14ac:dyDescent="0.25">
      <c r="A31" s="4"/>
      <c r="B31" s="4"/>
      <c r="C31" s="148"/>
      <c r="D31" s="7"/>
      <c r="E31" s="7"/>
      <c r="F31" s="7"/>
      <c r="G31" s="7"/>
    </row>
    <row r="32" spans="1:11" x14ac:dyDescent="0.25">
      <c r="C32" s="8" t="s">
        <v>771</v>
      </c>
    </row>
    <row r="34" spans="3:9" x14ac:dyDescent="0.25">
      <c r="C34" s="2"/>
      <c r="D34" s="217"/>
      <c r="E34" s="217"/>
      <c r="F34" s="217"/>
      <c r="G34" s="217"/>
    </row>
    <row r="35" spans="3:9" x14ac:dyDescent="0.25">
      <c r="C35" s="680"/>
      <c r="H35" s="335"/>
      <c r="I35" s="334"/>
    </row>
    <row r="36" spans="3:9" x14ac:dyDescent="0.25">
      <c r="C36" s="2"/>
    </row>
    <row r="38" spans="3:9" x14ac:dyDescent="0.25">
      <c r="C38" s="2"/>
    </row>
  </sheetData>
  <phoneticPr fontId="0" type="noConversion"/>
  <pageMargins left="0.74803149606299213" right="0.74803149606299213" top="0.39370078740157483" bottom="0.59055118110236227" header="0.31496062992125984" footer="0.51181102362204722"/>
  <pageSetup paperSize="9" scale="85" firstPageNumber="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7"/>
  <sheetViews>
    <sheetView workbookViewId="0">
      <pane xSplit="2" ySplit="7" topLeftCell="C8" activePane="bottomRight" state="frozen"/>
      <selection pane="topRight" activeCell="D1" sqref="D1"/>
      <selection pane="bottomLeft" activeCell="A9" sqref="A9"/>
      <selection pane="bottomRight" activeCell="H12" sqref="H12"/>
    </sheetView>
  </sheetViews>
  <sheetFormatPr defaultColWidth="9.28515625" defaultRowHeight="15" x14ac:dyDescent="0.25"/>
  <cols>
    <col min="1" max="1" width="9.28515625" style="1" customWidth="1"/>
    <col min="2" max="2" width="47.28515625" style="1" customWidth="1"/>
    <col min="3" max="4" width="10.5703125" style="1" customWidth="1"/>
    <col min="5" max="5" width="10" style="1" customWidth="1"/>
    <col min="6" max="16384" width="9.28515625" style="1"/>
  </cols>
  <sheetData>
    <row r="1" spans="1:5" x14ac:dyDescent="0.25">
      <c r="B1" s="116" t="s">
        <v>0</v>
      </c>
      <c r="C1" s="1" t="s">
        <v>361</v>
      </c>
    </row>
    <row r="3" spans="1:5" x14ac:dyDescent="0.25">
      <c r="A3" s="3" t="s">
        <v>158</v>
      </c>
    </row>
    <row r="4" spans="1:5" x14ac:dyDescent="0.25">
      <c r="B4" s="3" t="s">
        <v>383</v>
      </c>
    </row>
    <row r="5" spans="1:5" x14ac:dyDescent="0.25">
      <c r="A5" s="115" t="s">
        <v>108</v>
      </c>
      <c r="B5" s="116"/>
      <c r="C5" s="117" t="s">
        <v>90</v>
      </c>
      <c r="D5" s="117" t="s">
        <v>595</v>
      </c>
      <c r="E5" s="103" t="s">
        <v>91</v>
      </c>
    </row>
    <row r="6" spans="1:5" s="8" customFormat="1" ht="45.75" thickBot="1" x14ac:dyDescent="0.3">
      <c r="B6" s="118"/>
      <c r="C6" s="119" t="s">
        <v>514</v>
      </c>
      <c r="D6" s="119" t="s">
        <v>515</v>
      </c>
      <c r="E6" s="120" t="s">
        <v>792</v>
      </c>
    </row>
    <row r="7" spans="1:5" ht="36" customHeight="1" thickBot="1" x14ac:dyDescent="0.35">
      <c r="A7" s="114" t="s">
        <v>7</v>
      </c>
      <c r="B7" s="149" t="s">
        <v>10</v>
      </c>
      <c r="C7" s="150" t="s">
        <v>382</v>
      </c>
      <c r="D7" s="150" t="s">
        <v>382</v>
      </c>
      <c r="E7" s="150" t="s">
        <v>382</v>
      </c>
    </row>
    <row r="8" spans="1:5" x14ac:dyDescent="0.25">
      <c r="A8" s="151">
        <v>1100</v>
      </c>
      <c r="B8" s="152" t="s">
        <v>11</v>
      </c>
      <c r="C8" s="126">
        <f>378140+4368</f>
        <v>382508</v>
      </c>
      <c r="D8" s="126">
        <v>147539</v>
      </c>
      <c r="E8" s="128">
        <v>136876</v>
      </c>
    </row>
    <row r="9" spans="1:5" ht="26.25" customHeight="1" x14ac:dyDescent="0.25">
      <c r="A9" s="153">
        <v>1200</v>
      </c>
      <c r="B9" s="67" t="s">
        <v>12</v>
      </c>
      <c r="C9" s="76">
        <f>104985+1030</f>
        <v>106015</v>
      </c>
      <c r="D9" s="76">
        <v>41228</v>
      </c>
      <c r="E9" s="68">
        <v>42751</v>
      </c>
    </row>
    <row r="10" spans="1:5" x14ac:dyDescent="0.25">
      <c r="A10" s="153">
        <v>2000</v>
      </c>
      <c r="B10" s="73" t="s">
        <v>13</v>
      </c>
      <c r="C10" s="133">
        <f>SUM(C11:C15)</f>
        <v>155399</v>
      </c>
      <c r="D10" s="133">
        <f>SUM(D11:D15)</f>
        <v>116059</v>
      </c>
      <c r="E10" s="107">
        <f>SUM(E11:E15)</f>
        <v>69910</v>
      </c>
    </row>
    <row r="11" spans="1:5" x14ac:dyDescent="0.25">
      <c r="A11" s="153">
        <v>2100</v>
      </c>
      <c r="B11" s="73" t="s">
        <v>14</v>
      </c>
      <c r="C11" s="133">
        <f>3023+440</f>
        <v>3463</v>
      </c>
      <c r="D11" s="133">
        <v>368</v>
      </c>
      <c r="E11" s="133">
        <v>400</v>
      </c>
    </row>
    <row r="12" spans="1:5" x14ac:dyDescent="0.25">
      <c r="A12" s="153">
        <v>2200</v>
      </c>
      <c r="B12" s="73" t="s">
        <v>15</v>
      </c>
      <c r="C12" s="133">
        <f>107923+8580</f>
        <v>116503</v>
      </c>
      <c r="D12" s="133">
        <v>72791</v>
      </c>
      <c r="E12" s="133">
        <v>63080</v>
      </c>
    </row>
    <row r="13" spans="1:5" ht="30" x14ac:dyDescent="0.25">
      <c r="A13" s="153">
        <v>2300</v>
      </c>
      <c r="B13" s="67" t="s">
        <v>16</v>
      </c>
      <c r="C13" s="133">
        <f>27903+7530</f>
        <v>35433</v>
      </c>
      <c r="D13" s="133">
        <v>42850</v>
      </c>
      <c r="E13" s="133">
        <v>6430</v>
      </c>
    </row>
    <row r="14" spans="1:5" x14ac:dyDescent="0.25">
      <c r="A14" s="153">
        <v>2400</v>
      </c>
      <c r="B14" s="77" t="s">
        <v>55</v>
      </c>
      <c r="C14" s="133"/>
      <c r="D14" s="133">
        <v>50</v>
      </c>
      <c r="E14" s="133"/>
    </row>
    <row r="15" spans="1:5" x14ac:dyDescent="0.25">
      <c r="A15" s="153">
        <v>2500</v>
      </c>
      <c r="B15" s="73" t="s">
        <v>17</v>
      </c>
      <c r="C15" s="133"/>
      <c r="D15" s="643"/>
      <c r="E15" s="133"/>
    </row>
    <row r="16" spans="1:5" x14ac:dyDescent="0.25">
      <c r="A16" s="153">
        <v>4200</v>
      </c>
      <c r="B16" s="73" t="s">
        <v>19</v>
      </c>
      <c r="C16" s="133"/>
      <c r="D16" s="133"/>
      <c r="E16" s="133"/>
    </row>
    <row r="17" spans="1:8" x14ac:dyDescent="0.25">
      <c r="A17" s="153">
        <v>4300</v>
      </c>
      <c r="B17" s="73" t="s">
        <v>20</v>
      </c>
      <c r="C17" s="133"/>
      <c r="D17" s="133"/>
      <c r="E17" s="133"/>
    </row>
    <row r="18" spans="1:8" x14ac:dyDescent="0.25">
      <c r="A18" s="153">
        <v>5100</v>
      </c>
      <c r="B18" s="73" t="s">
        <v>22</v>
      </c>
      <c r="C18" s="133"/>
      <c r="D18" s="133"/>
      <c r="E18" s="133"/>
    </row>
    <row r="19" spans="1:8" x14ac:dyDescent="0.25">
      <c r="A19" s="153">
        <v>5200</v>
      </c>
      <c r="B19" s="73" t="s">
        <v>23</v>
      </c>
      <c r="C19" s="133">
        <f>5518+50000</f>
        <v>55518</v>
      </c>
      <c r="D19" s="133">
        <v>6265</v>
      </c>
      <c r="E19" s="270">
        <v>1550</v>
      </c>
    </row>
    <row r="20" spans="1:8" s="3" customFormat="1" x14ac:dyDescent="0.25">
      <c r="A20" s="153">
        <v>6000</v>
      </c>
      <c r="B20" s="67" t="s">
        <v>53</v>
      </c>
      <c r="C20" s="107">
        <f>SUM(C21:C23)</f>
        <v>0</v>
      </c>
      <c r="D20" s="107">
        <f>SUM(D21:D23)</f>
        <v>0</v>
      </c>
      <c r="E20" s="133"/>
    </row>
    <row r="21" spans="1:8" x14ac:dyDescent="0.25">
      <c r="A21" s="153">
        <v>6200</v>
      </c>
      <c r="B21" s="73" t="s">
        <v>24</v>
      </c>
      <c r="C21" s="137"/>
      <c r="D21" s="137"/>
      <c r="E21" s="137"/>
    </row>
    <row r="22" spans="1:8" x14ac:dyDescent="0.25">
      <c r="A22" s="153">
        <v>6300</v>
      </c>
      <c r="B22" s="67" t="s">
        <v>54</v>
      </c>
      <c r="C22" s="137"/>
      <c r="D22" s="137"/>
      <c r="E22" s="137"/>
    </row>
    <row r="23" spans="1:8" ht="15" customHeight="1" x14ac:dyDescent="0.25">
      <c r="A23" s="153">
        <v>6400</v>
      </c>
      <c r="B23" s="154" t="s">
        <v>70</v>
      </c>
      <c r="C23" s="137"/>
      <c r="D23" s="137"/>
      <c r="E23" s="137"/>
    </row>
    <row r="24" spans="1:8" ht="15.75" thickBot="1" x14ac:dyDescent="0.3">
      <c r="A24" s="153">
        <v>7200</v>
      </c>
      <c r="B24" s="73" t="s">
        <v>25</v>
      </c>
      <c r="C24" s="137"/>
      <c r="D24" s="137"/>
      <c r="E24" s="137"/>
    </row>
    <row r="25" spans="1:8" ht="15.75" thickBot="1" x14ac:dyDescent="0.3">
      <c r="A25" s="155"/>
      <c r="B25" s="96" t="s">
        <v>26</v>
      </c>
      <c r="C25" s="97">
        <f>SUM(C8+C9+C10+C16+C17+C18+C19+C20+C24)</f>
        <v>699440</v>
      </c>
      <c r="D25" s="97">
        <f>SUM(D8+D9+D10+D16+D17+D18+D19+D20+D24)</f>
        <v>311091</v>
      </c>
      <c r="E25" s="203">
        <f>SUM(E8+E9+E10+E16+E17+E18+E19+E20+E24)</f>
        <v>251087</v>
      </c>
    </row>
    <row r="26" spans="1:8" x14ac:dyDescent="0.25">
      <c r="A26" s="4"/>
      <c r="B26" s="98" t="s">
        <v>60</v>
      </c>
      <c r="C26" s="248">
        <v>224404</v>
      </c>
      <c r="D26" s="248">
        <v>65513</v>
      </c>
      <c r="E26" s="147">
        <v>152113</v>
      </c>
      <c r="H26" s="6"/>
    </row>
    <row r="27" spans="1:8" x14ac:dyDescent="0.25">
      <c r="A27" s="4"/>
      <c r="B27" s="98" t="s">
        <v>374</v>
      </c>
      <c r="C27" s="248"/>
      <c r="D27" s="248"/>
      <c r="E27" s="147"/>
    </row>
    <row r="28" spans="1:8" x14ac:dyDescent="0.25">
      <c r="A28" s="4"/>
      <c r="B28" s="98" t="s">
        <v>58</v>
      </c>
      <c r="C28" s="248">
        <v>55480</v>
      </c>
      <c r="D28" s="248">
        <v>12455</v>
      </c>
      <c r="E28" s="99"/>
    </row>
    <row r="29" spans="1:8" x14ac:dyDescent="0.25">
      <c r="B29" s="98" t="s">
        <v>47</v>
      </c>
      <c r="C29" s="101">
        <f>SUM(C25:C28)</f>
        <v>979324</v>
      </c>
      <c r="D29" s="101">
        <f>SUM(D25:D28)</f>
        <v>389059</v>
      </c>
      <c r="E29" s="101">
        <f>SUM(E25:E28)</f>
        <v>403200</v>
      </c>
    </row>
    <row r="30" spans="1:8" x14ac:dyDescent="0.25">
      <c r="B30" s="148"/>
      <c r="C30" s="156"/>
      <c r="D30" s="156"/>
      <c r="E30" s="7"/>
    </row>
    <row r="31" spans="1:8" x14ac:dyDescent="0.25">
      <c r="B31" s="8" t="s">
        <v>123</v>
      </c>
      <c r="C31" s="1" t="s">
        <v>38</v>
      </c>
      <c r="D31" s="8"/>
    </row>
    <row r="33" spans="2:5" x14ac:dyDescent="0.25">
      <c r="B33" s="2"/>
      <c r="C33" s="217"/>
      <c r="D33" s="217"/>
      <c r="E33" s="217"/>
    </row>
    <row r="34" spans="2:5" x14ac:dyDescent="0.25">
      <c r="B34" s="680"/>
    </row>
    <row r="35" spans="2:5" x14ac:dyDescent="0.25">
      <c r="B35" s="2"/>
    </row>
    <row r="37" spans="2:5" x14ac:dyDescent="0.25">
      <c r="B37" s="2"/>
    </row>
  </sheetData>
  <phoneticPr fontId="0" type="noConversion"/>
  <pageMargins left="0.74803149606299213" right="0.74803149606299213" top="0.39370078740157483" bottom="0.59055118110236227" header="0.31496062992125984" footer="0.51181102362204722"/>
  <pageSetup paperSize="9" firstPageNumber="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47"/>
  <sheetViews>
    <sheetView workbookViewId="0">
      <pane xSplit="2" ySplit="8" topLeftCell="N9" activePane="bottomRight" state="frozen"/>
      <selection pane="topRight" activeCell="D1" sqref="D1"/>
      <selection pane="bottomLeft" activeCell="A9" sqref="A9"/>
      <selection pane="bottomRight" activeCell="W19" sqref="W19"/>
    </sheetView>
  </sheetViews>
  <sheetFormatPr defaultColWidth="9.28515625" defaultRowHeight="15" x14ac:dyDescent="0.25"/>
  <cols>
    <col min="1" max="1" width="6.7109375" style="1" customWidth="1"/>
    <col min="2" max="2" width="42.28515625" style="1" customWidth="1"/>
    <col min="3" max="8" width="9.140625" style="1" customWidth="1"/>
    <col min="9" max="9" width="10" style="1" customWidth="1"/>
    <col min="10" max="10" width="9.85546875" style="1" customWidth="1"/>
    <col min="11" max="11" width="9.7109375" style="1" customWidth="1"/>
    <col min="12" max="12" width="9.28515625" style="10" customWidth="1"/>
    <col min="13" max="14" width="10.85546875" style="10" customWidth="1"/>
    <col min="15" max="15" width="8.85546875" style="10" customWidth="1"/>
    <col min="16" max="16" width="8.5703125" style="10" customWidth="1"/>
    <col min="17" max="18" width="8.85546875" style="10" customWidth="1"/>
    <col min="19" max="20" width="9.28515625" style="10" customWidth="1"/>
    <col min="21" max="21" width="8.42578125" style="10" customWidth="1"/>
    <col min="22" max="22" width="9.85546875" style="10" customWidth="1"/>
    <col min="23" max="23" width="9.28515625" style="10" customWidth="1"/>
    <col min="24" max="24" width="9.85546875" style="1" customWidth="1"/>
    <col min="25" max="25" width="10.85546875" style="1" customWidth="1"/>
    <col min="26" max="26" width="9.85546875" style="1" customWidth="1"/>
    <col min="27" max="27" width="9.140625" style="1" customWidth="1"/>
    <col min="28" max="16384" width="9.28515625" style="1"/>
  </cols>
  <sheetData>
    <row r="1" spans="1:28" x14ac:dyDescent="0.25">
      <c r="B1" s="1" t="s">
        <v>361</v>
      </c>
      <c r="D1" s="10"/>
    </row>
    <row r="2" spans="1:28" x14ac:dyDescent="0.25">
      <c r="B2" s="2" t="s">
        <v>0</v>
      </c>
    </row>
    <row r="3" spans="1:28" x14ac:dyDescent="0.25">
      <c r="B3" s="3" t="s">
        <v>109</v>
      </c>
    </row>
    <row r="4" spans="1:28" hidden="1" x14ac:dyDescent="0.25">
      <c r="A4" s="1074" t="s">
        <v>109</v>
      </c>
      <c r="B4" s="1074"/>
      <c r="C4" s="1074"/>
      <c r="D4" s="54"/>
      <c r="E4" s="724"/>
      <c r="F4" s="799"/>
      <c r="G4" s="724"/>
      <c r="H4" s="893"/>
      <c r="I4" s="930"/>
      <c r="J4" s="930"/>
      <c r="K4" s="802"/>
    </row>
    <row r="5" spans="1:28" x14ac:dyDescent="0.25">
      <c r="B5" s="3" t="s">
        <v>381</v>
      </c>
    </row>
    <row r="6" spans="1:28" s="11" customFormat="1" x14ac:dyDescent="0.25">
      <c r="A6" s="1042" t="s">
        <v>108</v>
      </c>
      <c r="B6" s="1043"/>
      <c r="C6" s="117" t="s">
        <v>73</v>
      </c>
      <c r="D6" s="103" t="s">
        <v>78</v>
      </c>
      <c r="E6" s="103" t="s">
        <v>596</v>
      </c>
      <c r="F6" s="103" t="s">
        <v>597</v>
      </c>
      <c r="G6" s="103" t="s">
        <v>601</v>
      </c>
      <c r="H6" s="103" t="s">
        <v>602</v>
      </c>
      <c r="I6" s="103" t="s">
        <v>598</v>
      </c>
      <c r="J6" s="103" t="s">
        <v>599</v>
      </c>
      <c r="K6" s="103" t="s">
        <v>600</v>
      </c>
      <c r="L6" s="117" t="s">
        <v>74</v>
      </c>
      <c r="M6" s="117" t="s">
        <v>603</v>
      </c>
      <c r="N6" s="117" t="s">
        <v>604</v>
      </c>
      <c r="O6" s="117" t="s">
        <v>605</v>
      </c>
      <c r="P6" s="117" t="s">
        <v>606</v>
      </c>
      <c r="Q6" s="117" t="s">
        <v>607</v>
      </c>
      <c r="R6" s="117" t="s">
        <v>609</v>
      </c>
      <c r="S6" s="117" t="s">
        <v>610</v>
      </c>
      <c r="T6" s="117" t="s">
        <v>611</v>
      </c>
      <c r="U6" s="117" t="s">
        <v>612</v>
      </c>
      <c r="V6" s="117" t="s">
        <v>608</v>
      </c>
      <c r="W6" s="117" t="s">
        <v>164</v>
      </c>
      <c r="X6" s="117" t="s">
        <v>75</v>
      </c>
      <c r="Y6" s="117" t="s">
        <v>202</v>
      </c>
      <c r="Z6" s="117" t="s">
        <v>686</v>
      </c>
      <c r="AA6" s="117" t="s">
        <v>687</v>
      </c>
      <c r="AB6" s="117" t="s">
        <v>189</v>
      </c>
    </row>
    <row r="7" spans="1:28" s="8" customFormat="1" ht="120.75" thickBot="1" x14ac:dyDescent="0.3">
      <c r="B7" s="118"/>
      <c r="C7" s="105" t="s">
        <v>67</v>
      </c>
      <c r="D7" s="120" t="s">
        <v>439</v>
      </c>
      <c r="E7" s="315" t="s">
        <v>438</v>
      </c>
      <c r="F7" s="315" t="s">
        <v>440</v>
      </c>
      <c r="G7" s="315" t="s">
        <v>443</v>
      </c>
      <c r="H7" s="315" t="s">
        <v>516</v>
      </c>
      <c r="I7" s="315" t="s">
        <v>562</v>
      </c>
      <c r="J7" s="315" t="s">
        <v>563</v>
      </c>
      <c r="K7" s="315" t="s">
        <v>564</v>
      </c>
      <c r="L7" s="119" t="s">
        <v>125</v>
      </c>
      <c r="M7" s="119" t="s">
        <v>455</v>
      </c>
      <c r="N7" s="119" t="s">
        <v>520</v>
      </c>
      <c r="O7" s="119" t="s">
        <v>521</v>
      </c>
      <c r="P7" s="119" t="s">
        <v>444</v>
      </c>
      <c r="Q7" s="119" t="s">
        <v>445</v>
      </c>
      <c r="R7" s="897" t="s">
        <v>452</v>
      </c>
      <c r="S7" s="897" t="s">
        <v>517</v>
      </c>
      <c r="T7" s="119" t="s">
        <v>518</v>
      </c>
      <c r="U7" s="119" t="s">
        <v>519</v>
      </c>
      <c r="V7" s="119" t="s">
        <v>456</v>
      </c>
      <c r="W7" s="119" t="s">
        <v>165</v>
      </c>
      <c r="X7" s="105" t="s">
        <v>126</v>
      </c>
      <c r="Y7" s="249" t="s">
        <v>203</v>
      </c>
      <c r="Z7" s="249" t="s">
        <v>688</v>
      </c>
      <c r="AA7" s="249" t="s">
        <v>689</v>
      </c>
      <c r="AB7" s="105" t="s">
        <v>127</v>
      </c>
    </row>
    <row r="8" spans="1:28" ht="34.9" customHeight="1" thickBot="1" x14ac:dyDescent="0.35">
      <c r="A8" s="114" t="s">
        <v>7</v>
      </c>
      <c r="B8" s="149" t="s">
        <v>10</v>
      </c>
      <c r="C8" s="59" t="s">
        <v>382</v>
      </c>
      <c r="D8" s="59" t="s">
        <v>382</v>
      </c>
      <c r="E8" s="59" t="s">
        <v>382</v>
      </c>
      <c r="F8" s="59" t="s">
        <v>382</v>
      </c>
      <c r="G8" s="59" t="s">
        <v>382</v>
      </c>
      <c r="H8" s="59" t="s">
        <v>382</v>
      </c>
      <c r="I8" s="59" t="s">
        <v>382</v>
      </c>
      <c r="J8" s="59" t="s">
        <v>382</v>
      </c>
      <c r="K8" s="59" t="s">
        <v>382</v>
      </c>
      <c r="L8" s="175" t="s">
        <v>382</v>
      </c>
      <c r="M8" s="59" t="s">
        <v>382</v>
      </c>
      <c r="N8" s="59" t="s">
        <v>382</v>
      </c>
      <c r="O8" s="59" t="s">
        <v>382</v>
      </c>
      <c r="P8" s="814" t="s">
        <v>382</v>
      </c>
      <c r="Q8" s="59" t="s">
        <v>382</v>
      </c>
      <c r="R8" s="59" t="s">
        <v>382</v>
      </c>
      <c r="S8" s="59" t="s">
        <v>382</v>
      </c>
      <c r="T8" s="59" t="s">
        <v>382</v>
      </c>
      <c r="U8" s="59" t="s">
        <v>382</v>
      </c>
      <c r="V8" s="59" t="s">
        <v>382</v>
      </c>
      <c r="W8" s="60" t="s">
        <v>382</v>
      </c>
      <c r="X8" s="59" t="s">
        <v>382</v>
      </c>
      <c r="Y8" s="59" t="s">
        <v>382</v>
      </c>
      <c r="Z8" s="59" t="s">
        <v>382</v>
      </c>
      <c r="AA8" s="59" t="s">
        <v>382</v>
      </c>
      <c r="AB8" s="59" t="s">
        <v>382</v>
      </c>
    </row>
    <row r="9" spans="1:28" x14ac:dyDescent="0.25">
      <c r="A9" s="157">
        <v>1100</v>
      </c>
      <c r="B9" s="152" t="s">
        <v>11</v>
      </c>
      <c r="C9" s="158"/>
      <c r="D9" s="128">
        <v>284112</v>
      </c>
      <c r="E9" s="320">
        <v>56732</v>
      </c>
      <c r="F9" s="320">
        <v>7849</v>
      </c>
      <c r="G9" s="320">
        <v>71452</v>
      </c>
      <c r="H9" s="320">
        <v>13428</v>
      </c>
      <c r="I9" s="320">
        <v>11579</v>
      </c>
      <c r="J9" s="320">
        <v>18644</v>
      </c>
      <c r="K9" s="320">
        <v>75780</v>
      </c>
      <c r="L9" s="813">
        <v>119255</v>
      </c>
      <c r="M9" s="808">
        <v>55608</v>
      </c>
      <c r="N9" s="808">
        <v>8800</v>
      </c>
      <c r="O9" s="808">
        <v>8590</v>
      </c>
      <c r="P9" s="147">
        <v>175903</v>
      </c>
      <c r="Q9" s="808">
        <v>84942</v>
      </c>
      <c r="R9" s="808">
        <v>74279</v>
      </c>
      <c r="S9" s="808">
        <v>46051</v>
      </c>
      <c r="T9" s="808">
        <v>24751</v>
      </c>
      <c r="U9" s="808">
        <v>31613</v>
      </c>
      <c r="V9" s="808">
        <v>347725</v>
      </c>
      <c r="W9" s="147">
        <v>8311</v>
      </c>
      <c r="X9" s="339"/>
      <c r="Y9" s="158"/>
      <c r="Z9" s="976">
        <v>32507</v>
      </c>
      <c r="AA9" s="976">
        <v>9579</v>
      </c>
      <c r="AB9" s="330">
        <v>8000</v>
      </c>
    </row>
    <row r="10" spans="1:28" ht="45" x14ac:dyDescent="0.25">
      <c r="A10" s="66">
        <v>1200</v>
      </c>
      <c r="B10" s="67" t="s">
        <v>12</v>
      </c>
      <c r="C10" s="159"/>
      <c r="D10" s="68">
        <v>86864</v>
      </c>
      <c r="E10" s="68">
        <v>17069</v>
      </c>
      <c r="F10" s="68">
        <v>2426</v>
      </c>
      <c r="G10" s="68">
        <v>21780</v>
      </c>
      <c r="H10" s="68">
        <v>4002</v>
      </c>
      <c r="I10" s="68">
        <v>3711</v>
      </c>
      <c r="J10" s="68">
        <v>5951</v>
      </c>
      <c r="K10" s="68">
        <v>23821</v>
      </c>
      <c r="L10" s="221">
        <v>33994</v>
      </c>
      <c r="M10" s="76">
        <v>18169</v>
      </c>
      <c r="N10" s="76">
        <v>3076</v>
      </c>
      <c r="O10" s="76">
        <v>2727</v>
      </c>
      <c r="P10" s="641">
        <v>52160</v>
      </c>
      <c r="Q10" s="76">
        <v>25638</v>
      </c>
      <c r="R10" s="76">
        <v>20994</v>
      </c>
      <c r="S10" s="76">
        <v>13569</v>
      </c>
      <c r="T10" s="76">
        <v>6969</v>
      </c>
      <c r="U10" s="76">
        <v>8981</v>
      </c>
      <c r="V10" s="76">
        <v>110400</v>
      </c>
      <c r="W10" s="641">
        <v>1960</v>
      </c>
      <c r="X10" s="135"/>
      <c r="Y10" s="135"/>
      <c r="Z10" s="135">
        <v>10056</v>
      </c>
      <c r="AA10" s="135">
        <v>3245</v>
      </c>
      <c r="AB10" s="76">
        <v>1200</v>
      </c>
    </row>
    <row r="11" spans="1:28" x14ac:dyDescent="0.25">
      <c r="A11" s="66">
        <v>2000</v>
      </c>
      <c r="B11" s="73" t="s">
        <v>13</v>
      </c>
      <c r="C11" s="107">
        <f t="shared" ref="C11:AB11" si="0">SUM(C12:C15)</f>
        <v>96658</v>
      </c>
      <c r="D11" s="107">
        <f t="shared" si="0"/>
        <v>199512</v>
      </c>
      <c r="E11" s="107">
        <f t="shared" si="0"/>
        <v>27514</v>
      </c>
      <c r="F11" s="107">
        <f t="shared" si="0"/>
        <v>7876</v>
      </c>
      <c r="G11" s="107">
        <f t="shared" si="0"/>
        <v>14333</v>
      </c>
      <c r="H11" s="107">
        <f t="shared" si="0"/>
        <v>3583</v>
      </c>
      <c r="I11" s="107">
        <f>SUM(I12:I15)</f>
        <v>2983</v>
      </c>
      <c r="J11" s="107">
        <f t="shared" si="0"/>
        <v>8630</v>
      </c>
      <c r="K11" s="107">
        <f>SUM(K12:K16)</f>
        <v>14261</v>
      </c>
      <c r="L11" s="160">
        <f t="shared" si="0"/>
        <v>54477</v>
      </c>
      <c r="M11" s="133">
        <f>SUM(M12:M16)</f>
        <v>28658</v>
      </c>
      <c r="N11" s="133">
        <f>SUM(N12:N16)</f>
        <v>8126</v>
      </c>
      <c r="O11" s="133">
        <f>SUM(O12:O16)</f>
        <v>8983</v>
      </c>
      <c r="P11" s="400">
        <f t="shared" si="0"/>
        <v>130752</v>
      </c>
      <c r="Q11" s="133">
        <f t="shared" si="0"/>
        <v>61497</v>
      </c>
      <c r="R11" s="133">
        <f t="shared" si="0"/>
        <v>121535</v>
      </c>
      <c r="S11" s="133">
        <f t="shared" si="0"/>
        <v>35272</v>
      </c>
      <c r="T11" s="133">
        <f t="shared" si="0"/>
        <v>18050</v>
      </c>
      <c r="U11" s="133">
        <f t="shared" si="0"/>
        <v>27946</v>
      </c>
      <c r="V11" s="133">
        <f>SUM(V12:V16)</f>
        <v>305946</v>
      </c>
      <c r="W11" s="140">
        <f t="shared" si="0"/>
        <v>49140</v>
      </c>
      <c r="X11" s="107">
        <f t="shared" si="0"/>
        <v>289404</v>
      </c>
      <c r="Y11" s="107">
        <f t="shared" ref="Y11:AA11" si="1">SUM(Y12:Y15)</f>
        <v>20000</v>
      </c>
      <c r="Z11" s="107">
        <f t="shared" si="1"/>
        <v>14599</v>
      </c>
      <c r="AA11" s="107">
        <f t="shared" si="1"/>
        <v>4905</v>
      </c>
      <c r="AB11" s="107">
        <f t="shared" si="0"/>
        <v>162686</v>
      </c>
    </row>
    <row r="12" spans="1:28" x14ac:dyDescent="0.25">
      <c r="A12" s="66">
        <v>2100</v>
      </c>
      <c r="B12" s="73" t="s">
        <v>14</v>
      </c>
      <c r="C12" s="141"/>
      <c r="D12" s="133">
        <v>50</v>
      </c>
      <c r="E12" s="133">
        <v>100</v>
      </c>
      <c r="F12" s="133">
        <v>10</v>
      </c>
      <c r="G12" s="133">
        <v>10</v>
      </c>
      <c r="H12" s="133"/>
      <c r="I12" s="133">
        <v>28</v>
      </c>
      <c r="J12" s="133">
        <v>80</v>
      </c>
      <c r="K12" s="133">
        <v>66</v>
      </c>
      <c r="L12" s="160">
        <v>80</v>
      </c>
      <c r="M12" s="133">
        <v>100</v>
      </c>
      <c r="N12" s="133"/>
      <c r="O12" s="133"/>
      <c r="P12" s="400">
        <v>200</v>
      </c>
      <c r="Q12" s="133">
        <v>50</v>
      </c>
      <c r="R12" s="133">
        <v>150</v>
      </c>
      <c r="S12" s="133"/>
      <c r="T12" s="133"/>
      <c r="U12" s="133">
        <v>1020</v>
      </c>
      <c r="V12" s="133">
        <v>50</v>
      </c>
      <c r="W12" s="400"/>
      <c r="X12" s="160"/>
      <c r="Y12" s="160"/>
      <c r="Z12" s="160"/>
      <c r="AA12" s="160"/>
      <c r="AB12" s="107"/>
    </row>
    <row r="13" spans="1:28" x14ac:dyDescent="0.25">
      <c r="A13" s="66">
        <v>2200</v>
      </c>
      <c r="B13" s="73" t="s">
        <v>15</v>
      </c>
      <c r="C13" s="982">
        <v>74048</v>
      </c>
      <c r="D13" s="133">
        <v>172702</v>
      </c>
      <c r="E13" s="133">
        <f>21310+728</f>
        <v>22038</v>
      </c>
      <c r="F13" s="133">
        <v>5761</v>
      </c>
      <c r="G13" s="133">
        <v>8348</v>
      </c>
      <c r="H13" s="133">
        <v>1480</v>
      </c>
      <c r="I13" s="133">
        <v>815</v>
      </c>
      <c r="J13" s="133">
        <v>6955</v>
      </c>
      <c r="K13" s="133">
        <v>7645</v>
      </c>
      <c r="L13" s="160">
        <v>45617</v>
      </c>
      <c r="M13" s="133">
        <v>23358</v>
      </c>
      <c r="N13" s="133">
        <v>6076</v>
      </c>
      <c r="O13" s="133">
        <v>5198</v>
      </c>
      <c r="P13" s="400">
        <v>94342</v>
      </c>
      <c r="Q13" s="133">
        <v>36370</v>
      </c>
      <c r="R13" s="133">
        <v>90885</v>
      </c>
      <c r="S13" s="133">
        <v>28377</v>
      </c>
      <c r="T13" s="133">
        <v>10930</v>
      </c>
      <c r="U13" s="133">
        <v>18216</v>
      </c>
      <c r="V13" s="133">
        <v>234240</v>
      </c>
      <c r="W13" s="400">
        <v>47500</v>
      </c>
      <c r="X13" s="160">
        <v>219404</v>
      </c>
      <c r="Y13" s="160">
        <v>20000</v>
      </c>
      <c r="Z13" s="160">
        <v>12964</v>
      </c>
      <c r="AA13" s="160">
        <v>4195</v>
      </c>
      <c r="AB13" s="133">
        <v>162686</v>
      </c>
    </row>
    <row r="14" spans="1:28" s="12" customFormat="1" ht="30" x14ac:dyDescent="0.25">
      <c r="A14" s="66">
        <v>2300</v>
      </c>
      <c r="B14" s="67" t="s">
        <v>16</v>
      </c>
      <c r="C14" s="141">
        <v>22610</v>
      </c>
      <c r="D14" s="133">
        <v>22310</v>
      </c>
      <c r="E14" s="133">
        <v>3026</v>
      </c>
      <c r="F14" s="133">
        <v>1505</v>
      </c>
      <c r="G14" s="133">
        <v>4475</v>
      </c>
      <c r="H14" s="133">
        <v>693</v>
      </c>
      <c r="I14" s="133">
        <v>643</v>
      </c>
      <c r="J14" s="133">
        <v>775</v>
      </c>
      <c r="K14" s="133">
        <v>4200</v>
      </c>
      <c r="L14" s="160">
        <v>8780</v>
      </c>
      <c r="M14" s="133">
        <v>5200</v>
      </c>
      <c r="N14" s="133">
        <v>2050</v>
      </c>
      <c r="O14" s="133">
        <v>3785</v>
      </c>
      <c r="P14" s="400">
        <v>36210</v>
      </c>
      <c r="Q14" s="133">
        <v>25077</v>
      </c>
      <c r="R14" s="133">
        <v>30500</v>
      </c>
      <c r="S14" s="133">
        <v>6895</v>
      </c>
      <c r="T14" s="133">
        <v>7120</v>
      </c>
      <c r="U14" s="133">
        <v>8710</v>
      </c>
      <c r="V14" s="133">
        <v>71656</v>
      </c>
      <c r="W14" s="400">
        <v>1640</v>
      </c>
      <c r="X14" s="160">
        <v>70000</v>
      </c>
      <c r="Y14" s="160"/>
      <c r="Z14" s="160">
        <v>1635</v>
      </c>
      <c r="AA14" s="160">
        <v>710</v>
      </c>
      <c r="AB14" s="133"/>
    </row>
    <row r="15" spans="1:28" x14ac:dyDescent="0.25">
      <c r="A15" s="66">
        <v>2400</v>
      </c>
      <c r="B15" s="77" t="s">
        <v>55</v>
      </c>
      <c r="C15" s="141"/>
      <c r="D15" s="133">
        <v>4450</v>
      </c>
      <c r="E15" s="133">
        <v>2350</v>
      </c>
      <c r="F15" s="133">
        <v>600</v>
      </c>
      <c r="G15" s="133">
        <v>1500</v>
      </c>
      <c r="H15" s="133">
        <v>1410</v>
      </c>
      <c r="I15" s="133">
        <v>1497</v>
      </c>
      <c r="J15" s="133">
        <v>820</v>
      </c>
      <c r="K15" s="133">
        <v>2350</v>
      </c>
      <c r="L15" s="160"/>
      <c r="M15" s="133"/>
      <c r="N15" s="133"/>
      <c r="O15" s="133"/>
      <c r="P15" s="400"/>
      <c r="Q15" s="133"/>
      <c r="R15" s="133"/>
      <c r="S15" s="133"/>
      <c r="T15" s="133"/>
      <c r="U15" s="133"/>
      <c r="V15" s="133"/>
      <c r="W15" s="400"/>
      <c r="X15" s="160"/>
      <c r="Y15" s="160"/>
      <c r="Z15" s="160"/>
      <c r="AA15" s="160"/>
      <c r="AB15" s="107"/>
    </row>
    <row r="16" spans="1:28" x14ac:dyDescent="0.25">
      <c r="A16" s="66">
        <v>2500</v>
      </c>
      <c r="B16" s="73" t="s">
        <v>17</v>
      </c>
      <c r="C16" s="141"/>
      <c r="D16" s="133"/>
      <c r="E16" s="133"/>
      <c r="F16" s="133"/>
      <c r="G16" s="133"/>
      <c r="H16" s="133"/>
      <c r="I16" s="643"/>
      <c r="J16" s="643"/>
      <c r="K16" s="643"/>
      <c r="L16" s="160"/>
      <c r="M16" s="643"/>
      <c r="N16" s="643"/>
      <c r="O16" s="643"/>
      <c r="P16" s="400"/>
      <c r="Q16" s="133"/>
      <c r="R16" s="133"/>
      <c r="S16" s="133"/>
      <c r="T16" s="133"/>
      <c r="U16" s="133"/>
      <c r="V16" s="643"/>
      <c r="W16" s="400"/>
      <c r="X16" s="160"/>
      <c r="Y16" s="160"/>
      <c r="Z16" s="160">
        <v>200</v>
      </c>
      <c r="AA16" s="160"/>
      <c r="AB16" s="107"/>
    </row>
    <row r="17" spans="1:28" x14ac:dyDescent="0.25">
      <c r="A17" s="66">
        <v>3200</v>
      </c>
      <c r="B17" s="73" t="s">
        <v>18</v>
      </c>
      <c r="C17" s="135">
        <v>60370</v>
      </c>
      <c r="D17" s="133"/>
      <c r="E17" s="133"/>
      <c r="F17" s="133"/>
      <c r="G17" s="133"/>
      <c r="H17" s="133"/>
      <c r="I17" s="133"/>
      <c r="J17" s="133"/>
      <c r="K17" s="133"/>
      <c r="L17" s="160"/>
      <c r="M17" s="133"/>
      <c r="N17" s="133"/>
      <c r="O17" s="133"/>
      <c r="P17" s="400"/>
      <c r="Q17" s="133"/>
      <c r="R17" s="133"/>
      <c r="S17" s="133"/>
      <c r="T17" s="133"/>
      <c r="U17" s="133"/>
      <c r="V17" s="133"/>
      <c r="W17" s="400">
        <v>72600</v>
      </c>
      <c r="X17" s="160"/>
      <c r="Y17" s="160"/>
      <c r="Z17" s="160"/>
      <c r="AA17" s="160"/>
      <c r="AB17" s="107">
        <v>8600</v>
      </c>
    </row>
    <row r="18" spans="1:28" x14ac:dyDescent="0.25">
      <c r="A18" s="66">
        <v>4200</v>
      </c>
      <c r="B18" s="73" t="s">
        <v>19</v>
      </c>
      <c r="C18" s="135"/>
      <c r="D18" s="133"/>
      <c r="E18" s="133"/>
      <c r="F18" s="133"/>
      <c r="G18" s="133"/>
      <c r="H18" s="133"/>
      <c r="I18" s="133"/>
      <c r="J18" s="133"/>
      <c r="K18" s="133"/>
      <c r="L18" s="160"/>
      <c r="M18" s="133"/>
      <c r="N18" s="133"/>
      <c r="O18" s="133"/>
      <c r="P18" s="400"/>
      <c r="Q18" s="133"/>
      <c r="R18" s="133"/>
      <c r="S18" s="133"/>
      <c r="T18" s="133"/>
      <c r="U18" s="133"/>
      <c r="V18" s="133"/>
      <c r="W18" s="400"/>
      <c r="X18" s="160"/>
      <c r="Y18" s="160"/>
      <c r="Z18" s="160"/>
      <c r="AA18" s="160"/>
      <c r="AB18" s="107"/>
    </row>
    <row r="19" spans="1:28" x14ac:dyDescent="0.25">
      <c r="A19" s="66">
        <v>4300</v>
      </c>
      <c r="B19" s="73" t="s">
        <v>20</v>
      </c>
      <c r="C19" s="135"/>
      <c r="D19" s="133"/>
      <c r="E19" s="133"/>
      <c r="F19" s="133"/>
      <c r="G19" s="133"/>
      <c r="H19" s="133"/>
      <c r="I19" s="133"/>
      <c r="J19" s="133"/>
      <c r="K19" s="133"/>
      <c r="L19" s="160"/>
      <c r="M19" s="133"/>
      <c r="N19" s="133"/>
      <c r="O19" s="133"/>
      <c r="P19" s="400"/>
      <c r="Q19" s="133"/>
      <c r="R19" s="133"/>
      <c r="S19" s="133"/>
      <c r="T19" s="133"/>
      <c r="U19" s="133"/>
      <c r="V19" s="133"/>
      <c r="W19" s="400"/>
      <c r="X19" s="160"/>
      <c r="Y19" s="160"/>
      <c r="Z19" s="160"/>
      <c r="AA19" s="160"/>
      <c r="AB19" s="107"/>
    </row>
    <row r="20" spans="1:28" x14ac:dyDescent="0.25">
      <c r="A20" s="66">
        <v>5100</v>
      </c>
      <c r="B20" s="73" t="s">
        <v>22</v>
      </c>
      <c r="C20" s="135"/>
      <c r="D20" s="133"/>
      <c r="E20" s="133"/>
      <c r="F20" s="133">
        <v>350</v>
      </c>
      <c r="G20" s="133"/>
      <c r="H20" s="133"/>
      <c r="I20" s="133"/>
      <c r="J20" s="133"/>
      <c r="K20" s="133"/>
      <c r="L20" s="160"/>
      <c r="M20" s="133"/>
      <c r="N20" s="133"/>
      <c r="O20" s="133"/>
      <c r="P20" s="400"/>
      <c r="Q20" s="133"/>
      <c r="R20" s="133"/>
      <c r="S20" s="133"/>
      <c r="T20" s="133"/>
      <c r="U20" s="133">
        <v>400</v>
      </c>
      <c r="V20" s="133"/>
      <c r="W20" s="400"/>
      <c r="X20" s="160"/>
      <c r="Y20" s="160"/>
      <c r="Z20" s="160"/>
      <c r="AA20" s="160"/>
      <c r="AB20" s="107"/>
    </row>
    <row r="21" spans="1:28" x14ac:dyDescent="0.25">
      <c r="A21" s="66">
        <v>5200</v>
      </c>
      <c r="B21" s="73" t="s">
        <v>23</v>
      </c>
      <c r="C21" s="135"/>
      <c r="D21" s="133">
        <v>40956</v>
      </c>
      <c r="E21" s="161">
        <f>8000+3980</f>
        <v>11980</v>
      </c>
      <c r="F21" s="161">
        <v>7135</v>
      </c>
      <c r="G21" s="161">
        <f>10932+3980</f>
        <v>14912</v>
      </c>
      <c r="H21" s="161">
        <f>5800+3980</f>
        <v>9780</v>
      </c>
      <c r="I21" s="161">
        <v>4164</v>
      </c>
      <c r="J21" s="161">
        <v>3000</v>
      </c>
      <c r="K21" s="161">
        <v>14980</v>
      </c>
      <c r="L21" s="162">
        <v>258</v>
      </c>
      <c r="M21" s="161">
        <v>600</v>
      </c>
      <c r="N21" s="161"/>
      <c r="O21" s="161">
        <v>800</v>
      </c>
      <c r="P21" s="806">
        <v>2500</v>
      </c>
      <c r="Q21" s="161">
        <v>4515</v>
      </c>
      <c r="R21" s="161">
        <v>1000</v>
      </c>
      <c r="S21" s="161">
        <v>1000</v>
      </c>
      <c r="T21" s="161">
        <v>700</v>
      </c>
      <c r="U21" s="161">
        <v>2700</v>
      </c>
      <c r="V21" s="161">
        <v>2200</v>
      </c>
      <c r="W21" s="806"/>
      <c r="X21" s="162">
        <v>55000</v>
      </c>
      <c r="Y21" s="162"/>
      <c r="Z21" s="162"/>
      <c r="AA21" s="162">
        <v>3628</v>
      </c>
      <c r="AB21" s="110"/>
    </row>
    <row r="22" spans="1:28" ht="15.75" thickBot="1" x14ac:dyDescent="0.3">
      <c r="A22" s="66">
        <v>6400</v>
      </c>
      <c r="B22" s="163" t="s">
        <v>72</v>
      </c>
      <c r="C22" s="107">
        <v>2420</v>
      </c>
      <c r="D22" s="133"/>
      <c r="E22" s="161"/>
      <c r="F22" s="161"/>
      <c r="G22" s="161"/>
      <c r="H22" s="161"/>
      <c r="I22" s="161"/>
      <c r="J22" s="161"/>
      <c r="K22" s="161"/>
      <c r="L22" s="805"/>
      <c r="M22" s="165"/>
      <c r="N22" s="165"/>
      <c r="O22" s="165"/>
      <c r="P22" s="815"/>
      <c r="Q22" s="165"/>
      <c r="R22" s="165"/>
      <c r="S22" s="165"/>
      <c r="T22" s="165"/>
      <c r="U22" s="165"/>
      <c r="V22" s="165">
        <v>800</v>
      </c>
      <c r="W22" s="807">
        <v>34750</v>
      </c>
      <c r="X22" s="165"/>
      <c r="Y22" s="165"/>
      <c r="Z22" s="165"/>
      <c r="AA22" s="165"/>
      <c r="AB22" s="164"/>
    </row>
    <row r="23" spans="1:28" ht="15.75" thickBot="1" x14ac:dyDescent="0.3">
      <c r="A23" s="57"/>
      <c r="B23" s="96" t="s">
        <v>26</v>
      </c>
      <c r="C23" s="983">
        <f>SUM(C9+C10+C11+C17+C18+C19+C20+C21+C22)</f>
        <v>159448</v>
      </c>
      <c r="D23" s="331">
        <f t="shared" ref="D23:O23" si="2">SUM(D9+D10+D11+D18+D19+D20+D21)</f>
        <v>611444</v>
      </c>
      <c r="E23" s="331">
        <f t="shared" si="2"/>
        <v>113295</v>
      </c>
      <c r="F23" s="331">
        <f t="shared" si="2"/>
        <v>25636</v>
      </c>
      <c r="G23" s="331">
        <f t="shared" si="2"/>
        <v>122477</v>
      </c>
      <c r="H23" s="331">
        <f t="shared" si="2"/>
        <v>30793</v>
      </c>
      <c r="I23" s="331">
        <f>SUM(I9+I10+I11+I16+I18+I19+I20+I21)</f>
        <v>22437</v>
      </c>
      <c r="J23" s="331">
        <f>SUM(J9+J10+J11+J16+J18+J19+J20+J21)</f>
        <v>36225</v>
      </c>
      <c r="K23" s="331">
        <f>SUM(K9+K10+K11+K18+K19+K20+K21)</f>
        <v>128842</v>
      </c>
      <c r="L23" s="809">
        <f t="shared" si="2"/>
        <v>207984</v>
      </c>
      <c r="M23" s="811">
        <f t="shared" si="2"/>
        <v>103035</v>
      </c>
      <c r="N23" s="811">
        <f t="shared" si="2"/>
        <v>20002</v>
      </c>
      <c r="O23" s="811">
        <f t="shared" si="2"/>
        <v>21100</v>
      </c>
      <c r="P23" s="816">
        <f t="shared" ref="P23:V23" si="3">SUM(P9+P10+P11+P17+P18+P19+P20+P21+P22)</f>
        <v>361315</v>
      </c>
      <c r="Q23" s="811">
        <f t="shared" si="3"/>
        <v>176592</v>
      </c>
      <c r="R23" s="811">
        <f t="shared" si="3"/>
        <v>217808</v>
      </c>
      <c r="S23" s="811">
        <f t="shared" si="3"/>
        <v>95892</v>
      </c>
      <c r="T23" s="811">
        <f t="shared" si="3"/>
        <v>50470</v>
      </c>
      <c r="U23" s="811">
        <f t="shared" si="3"/>
        <v>71640</v>
      </c>
      <c r="V23" s="203">
        <f t="shared" si="3"/>
        <v>767071</v>
      </c>
      <c r="W23" s="810">
        <f>SUM(W9+W10+W11+W17+W18+W19+W20+W21+W22)</f>
        <v>166761</v>
      </c>
      <c r="X23" s="332">
        <f>SUM(X9+X10+X11+X18+X19+X20+X21)</f>
        <v>344404</v>
      </c>
      <c r="Y23" s="332">
        <f>SUM(Y9+Y10+Y11+Y18+Y19+Y20+Y21)</f>
        <v>20000</v>
      </c>
      <c r="Z23" s="332">
        <f>SUM(Z9+Z10+Z11+Z16+Z18+Z19+Z20+Z21)</f>
        <v>57362</v>
      </c>
      <c r="AA23" s="332">
        <f t="shared" ref="AA23" si="4">SUM(AA9+AA10+AA11+AA18+AA19+AA20+AA21)</f>
        <v>21357</v>
      </c>
      <c r="AB23" s="333">
        <f>SUM(AB9+AB10+AB11+AB17+AB18+AB19+AB20+AB21+AB22)</f>
        <v>180486</v>
      </c>
    </row>
    <row r="24" spans="1:28" x14ac:dyDescent="0.25">
      <c r="B24" s="98" t="s">
        <v>209</v>
      </c>
      <c r="C24" s="7"/>
      <c r="D24" s="7"/>
      <c r="E24" s="7"/>
      <c r="F24" s="7"/>
      <c r="G24" s="7"/>
      <c r="H24" s="7"/>
      <c r="I24" s="7"/>
      <c r="J24" s="7"/>
      <c r="K24" s="7"/>
      <c r="L24" s="7"/>
      <c r="M24" s="7"/>
      <c r="N24" s="7"/>
      <c r="O24" s="7"/>
      <c r="P24" s="7">
        <v>4050</v>
      </c>
      <c r="Q24" s="7">
        <v>2835</v>
      </c>
      <c r="R24" s="7">
        <v>2430</v>
      </c>
      <c r="S24" s="7">
        <v>810</v>
      </c>
      <c r="T24" s="7"/>
      <c r="U24" s="7">
        <v>1215</v>
      </c>
      <c r="V24" s="7">
        <v>10530</v>
      </c>
      <c r="W24" s="7"/>
      <c r="X24" s="166"/>
      <c r="Y24" s="217"/>
      <c r="Z24" s="217"/>
      <c r="AA24" s="217"/>
      <c r="AB24" s="3"/>
    </row>
    <row r="25" spans="1:28" x14ac:dyDescent="0.25">
      <c r="B25" s="148" t="s">
        <v>547</v>
      </c>
      <c r="C25" s="101">
        <f>C23+C24</f>
        <v>159448</v>
      </c>
      <c r="D25" s="101">
        <f t="shared" ref="D25:AB25" si="5">D23+D24</f>
        <v>611444</v>
      </c>
      <c r="E25" s="101">
        <f t="shared" si="5"/>
        <v>113295</v>
      </c>
      <c r="F25" s="101">
        <f t="shared" si="5"/>
        <v>25636</v>
      </c>
      <c r="G25" s="101">
        <f t="shared" si="5"/>
        <v>122477</v>
      </c>
      <c r="H25" s="101">
        <f t="shared" si="5"/>
        <v>30793</v>
      </c>
      <c r="I25" s="101">
        <f t="shared" si="5"/>
        <v>22437</v>
      </c>
      <c r="J25" s="101">
        <f t="shared" si="5"/>
        <v>36225</v>
      </c>
      <c r="K25" s="101">
        <f t="shared" si="5"/>
        <v>128842</v>
      </c>
      <c r="L25" s="101">
        <f t="shared" si="5"/>
        <v>207984</v>
      </c>
      <c r="M25" s="101">
        <f t="shared" si="5"/>
        <v>103035</v>
      </c>
      <c r="N25" s="101">
        <f t="shared" si="5"/>
        <v>20002</v>
      </c>
      <c r="O25" s="101">
        <f t="shared" si="5"/>
        <v>21100</v>
      </c>
      <c r="P25" s="101">
        <f t="shared" si="5"/>
        <v>365365</v>
      </c>
      <c r="Q25" s="101">
        <f t="shared" si="5"/>
        <v>179427</v>
      </c>
      <c r="R25" s="101">
        <f t="shared" si="5"/>
        <v>220238</v>
      </c>
      <c r="S25" s="101">
        <f t="shared" si="5"/>
        <v>96702</v>
      </c>
      <c r="T25" s="101">
        <f t="shared" si="5"/>
        <v>50470</v>
      </c>
      <c r="U25" s="101">
        <f t="shared" si="5"/>
        <v>72855</v>
      </c>
      <c r="V25" s="101">
        <f t="shared" si="5"/>
        <v>777601</v>
      </c>
      <c r="W25" s="101">
        <f t="shared" si="5"/>
        <v>166761</v>
      </c>
      <c r="X25" s="101">
        <f t="shared" si="5"/>
        <v>344404</v>
      </c>
      <c r="Y25" s="101">
        <f t="shared" si="5"/>
        <v>20000</v>
      </c>
      <c r="Z25" s="101">
        <f t="shared" si="5"/>
        <v>57362</v>
      </c>
      <c r="AA25" s="101">
        <f t="shared" si="5"/>
        <v>21357</v>
      </c>
      <c r="AB25" s="101">
        <f t="shared" si="5"/>
        <v>180486</v>
      </c>
    </row>
    <row r="26" spans="1:28" x14ac:dyDescent="0.25">
      <c r="B26" s="8"/>
      <c r="C26" s="1" t="s">
        <v>38</v>
      </c>
      <c r="D26" s="8"/>
      <c r="E26" s="8"/>
      <c r="F26" s="8"/>
      <c r="G26" s="8"/>
      <c r="H26" s="8"/>
      <c r="I26" s="8"/>
      <c r="J26" s="8"/>
      <c r="K26" s="8"/>
      <c r="L26" s="1"/>
      <c r="M26" s="1"/>
      <c r="N26" s="1"/>
      <c r="O26" s="1"/>
      <c r="P26" s="1"/>
      <c r="Q26" s="1"/>
      <c r="R26" s="1"/>
      <c r="S26" s="1"/>
      <c r="T26" s="1"/>
      <c r="U26" s="1"/>
      <c r="V26" s="1"/>
      <c r="W26" s="1"/>
    </row>
    <row r="27" spans="1:28" x14ac:dyDescent="0.25">
      <c r="B27" s="8" t="s">
        <v>123</v>
      </c>
      <c r="J27" s="1" t="s">
        <v>679</v>
      </c>
    </row>
    <row r="28" spans="1:28" x14ac:dyDescent="0.25">
      <c r="B28" s="2"/>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row>
    <row r="29" spans="1:28" x14ac:dyDescent="0.25">
      <c r="B29" s="680"/>
      <c r="L29" s="681"/>
      <c r="M29" s="681"/>
      <c r="N29" s="681"/>
      <c r="O29" s="681"/>
      <c r="P29" s="681"/>
      <c r="Q29" s="681"/>
      <c r="R29" s="681"/>
      <c r="S29" s="681"/>
      <c r="T29" s="681"/>
      <c r="U29" s="681"/>
      <c r="V29" s="681"/>
      <c r="W29" s="6"/>
    </row>
    <row r="30" spans="1:28" x14ac:dyDescent="0.25">
      <c r="L30" s="681"/>
      <c r="M30" s="681"/>
      <c r="N30" s="681"/>
      <c r="O30" s="681"/>
      <c r="P30" s="681"/>
      <c r="Q30" s="681"/>
      <c r="R30" s="681"/>
      <c r="S30" s="681"/>
      <c r="T30" s="681"/>
      <c r="U30" s="681"/>
      <c r="V30" s="681"/>
    </row>
    <row r="31" spans="1:28" x14ac:dyDescent="0.25">
      <c r="L31" s="681"/>
      <c r="M31" s="681"/>
      <c r="N31" s="681"/>
      <c r="O31" s="681"/>
      <c r="P31" s="681"/>
      <c r="Q31" s="681"/>
      <c r="R31" s="681"/>
      <c r="S31" s="681"/>
      <c r="T31" s="681"/>
      <c r="U31" s="681"/>
      <c r="V31" s="681"/>
    </row>
    <row r="32" spans="1:28" x14ac:dyDescent="0.25">
      <c r="B32" s="2"/>
      <c r="L32" s="681"/>
      <c r="M32" s="681"/>
      <c r="N32" s="681"/>
      <c r="O32" s="681"/>
      <c r="P32" s="681"/>
      <c r="Q32" s="681"/>
      <c r="R32" s="681"/>
      <c r="S32" s="681"/>
      <c r="T32" s="681"/>
      <c r="U32" s="681"/>
      <c r="V32" s="681"/>
    </row>
    <row r="33" spans="3:20" x14ac:dyDescent="0.25">
      <c r="C33" s="3"/>
    </row>
    <row r="47" spans="3:20" x14ac:dyDescent="0.25">
      <c r="T47" s="10" t="s">
        <v>246</v>
      </c>
    </row>
  </sheetData>
  <mergeCells count="1">
    <mergeCell ref="A4:C4"/>
  </mergeCells>
  <phoneticPr fontId="0" type="noConversion"/>
  <pageMargins left="0.55118110236220474" right="0.55118110236220474" top="0" bottom="0.59055118110236227" header="0.11811023622047245" footer="0.51181102362204722"/>
  <pageSetup paperSize="9" scale="90"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R45"/>
  <sheetViews>
    <sheetView workbookViewId="0">
      <selection activeCell="I8" sqref="I8"/>
    </sheetView>
  </sheetViews>
  <sheetFormatPr defaultColWidth="8.85546875" defaultRowHeight="15.75" x14ac:dyDescent="0.25"/>
  <cols>
    <col min="1" max="1" width="57.85546875" style="222" customWidth="1"/>
    <col min="2" max="2" width="9.7109375" style="16" customWidth="1"/>
    <col min="3" max="3" width="11" style="16" customWidth="1"/>
    <col min="4" max="252" width="8.85546875" style="16"/>
    <col min="253" max="253" width="57.85546875" style="16" customWidth="1"/>
    <col min="254" max="254" width="9.7109375" style="16" customWidth="1"/>
    <col min="255" max="255" width="11" style="16" customWidth="1"/>
    <col min="256" max="256" width="23.7109375" style="16" customWidth="1"/>
    <col min="257" max="508" width="8.85546875" style="16"/>
    <col min="509" max="509" width="57.85546875" style="16" customWidth="1"/>
    <col min="510" max="510" width="9.7109375" style="16" customWidth="1"/>
    <col min="511" max="511" width="11" style="16" customWidth="1"/>
    <col min="512" max="512" width="23.7109375" style="16" customWidth="1"/>
    <col min="513" max="764" width="8.85546875" style="16"/>
    <col min="765" max="765" width="57.85546875" style="16" customWidth="1"/>
    <col min="766" max="766" width="9.7109375" style="16" customWidth="1"/>
    <col min="767" max="767" width="11" style="16" customWidth="1"/>
    <col min="768" max="768" width="23.7109375" style="16" customWidth="1"/>
    <col min="769" max="1020" width="8.85546875" style="16"/>
    <col min="1021" max="1021" width="57.85546875" style="16" customWidth="1"/>
    <col min="1022" max="1022" width="9.7109375" style="16" customWidth="1"/>
    <col min="1023" max="1023" width="11" style="16" customWidth="1"/>
    <col min="1024" max="1024" width="23.7109375" style="16" customWidth="1"/>
    <col min="1025" max="1276" width="8.85546875" style="16"/>
    <col min="1277" max="1277" width="57.85546875" style="16" customWidth="1"/>
    <col min="1278" max="1278" width="9.7109375" style="16" customWidth="1"/>
    <col min="1279" max="1279" width="11" style="16" customWidth="1"/>
    <col min="1280" max="1280" width="23.7109375" style="16" customWidth="1"/>
    <col min="1281" max="1532" width="8.85546875" style="16"/>
    <col min="1533" max="1533" width="57.85546875" style="16" customWidth="1"/>
    <col min="1534" max="1534" width="9.7109375" style="16" customWidth="1"/>
    <col min="1535" max="1535" width="11" style="16" customWidth="1"/>
    <col min="1536" max="1536" width="23.7109375" style="16" customWidth="1"/>
    <col min="1537" max="1788" width="8.85546875" style="16"/>
    <col min="1789" max="1789" width="57.85546875" style="16" customWidth="1"/>
    <col min="1790" max="1790" width="9.7109375" style="16" customWidth="1"/>
    <col min="1791" max="1791" width="11" style="16" customWidth="1"/>
    <col min="1792" max="1792" width="23.7109375" style="16" customWidth="1"/>
    <col min="1793" max="2044" width="8.85546875" style="16"/>
    <col min="2045" max="2045" width="57.85546875" style="16" customWidth="1"/>
    <col min="2046" max="2046" width="9.7109375" style="16" customWidth="1"/>
    <col min="2047" max="2047" width="11" style="16" customWidth="1"/>
    <col min="2048" max="2048" width="23.7109375" style="16" customWidth="1"/>
    <col min="2049" max="2300" width="8.85546875" style="16"/>
    <col min="2301" max="2301" width="57.85546875" style="16" customWidth="1"/>
    <col min="2302" max="2302" width="9.7109375" style="16" customWidth="1"/>
    <col min="2303" max="2303" width="11" style="16" customWidth="1"/>
    <col min="2304" max="2304" width="23.7109375" style="16" customWidth="1"/>
    <col min="2305" max="2556" width="8.85546875" style="16"/>
    <col min="2557" max="2557" width="57.85546875" style="16" customWidth="1"/>
    <col min="2558" max="2558" width="9.7109375" style="16" customWidth="1"/>
    <col min="2559" max="2559" width="11" style="16" customWidth="1"/>
    <col min="2560" max="2560" width="23.7109375" style="16" customWidth="1"/>
    <col min="2561" max="2812" width="8.85546875" style="16"/>
    <col min="2813" max="2813" width="57.85546875" style="16" customWidth="1"/>
    <col min="2814" max="2814" width="9.7109375" style="16" customWidth="1"/>
    <col min="2815" max="2815" width="11" style="16" customWidth="1"/>
    <col min="2816" max="2816" width="23.7109375" style="16" customWidth="1"/>
    <col min="2817" max="3068" width="8.85546875" style="16"/>
    <col min="3069" max="3069" width="57.85546875" style="16" customWidth="1"/>
    <col min="3070" max="3070" width="9.7109375" style="16" customWidth="1"/>
    <col min="3071" max="3071" width="11" style="16" customWidth="1"/>
    <col min="3072" max="3072" width="23.7109375" style="16" customWidth="1"/>
    <col min="3073" max="3324" width="8.85546875" style="16"/>
    <col min="3325" max="3325" width="57.85546875" style="16" customWidth="1"/>
    <col min="3326" max="3326" width="9.7109375" style="16" customWidth="1"/>
    <col min="3327" max="3327" width="11" style="16" customWidth="1"/>
    <col min="3328" max="3328" width="23.7109375" style="16" customWidth="1"/>
    <col min="3329" max="3580" width="8.85546875" style="16"/>
    <col min="3581" max="3581" width="57.85546875" style="16" customWidth="1"/>
    <col min="3582" max="3582" width="9.7109375" style="16" customWidth="1"/>
    <col min="3583" max="3583" width="11" style="16" customWidth="1"/>
    <col min="3584" max="3584" width="23.7109375" style="16" customWidth="1"/>
    <col min="3585" max="3836" width="8.85546875" style="16"/>
    <col min="3837" max="3837" width="57.85546875" style="16" customWidth="1"/>
    <col min="3838" max="3838" width="9.7109375" style="16" customWidth="1"/>
    <col min="3839" max="3839" width="11" style="16" customWidth="1"/>
    <col min="3840" max="3840" width="23.7109375" style="16" customWidth="1"/>
    <col min="3841" max="4092" width="8.85546875" style="16"/>
    <col min="4093" max="4093" width="57.85546875" style="16" customWidth="1"/>
    <col min="4094" max="4094" width="9.7109375" style="16" customWidth="1"/>
    <col min="4095" max="4095" width="11" style="16" customWidth="1"/>
    <col min="4096" max="4096" width="23.7109375" style="16" customWidth="1"/>
    <col min="4097" max="4348" width="8.85546875" style="16"/>
    <col min="4349" max="4349" width="57.85546875" style="16" customWidth="1"/>
    <col min="4350" max="4350" width="9.7109375" style="16" customWidth="1"/>
    <col min="4351" max="4351" width="11" style="16" customWidth="1"/>
    <col min="4352" max="4352" width="23.7109375" style="16" customWidth="1"/>
    <col min="4353" max="4604" width="8.85546875" style="16"/>
    <col min="4605" max="4605" width="57.85546875" style="16" customWidth="1"/>
    <col min="4606" max="4606" width="9.7109375" style="16" customWidth="1"/>
    <col min="4607" max="4607" width="11" style="16" customWidth="1"/>
    <col min="4608" max="4608" width="23.7109375" style="16" customWidth="1"/>
    <col min="4609" max="4860" width="8.85546875" style="16"/>
    <col min="4861" max="4861" width="57.85546875" style="16" customWidth="1"/>
    <col min="4862" max="4862" width="9.7109375" style="16" customWidth="1"/>
    <col min="4863" max="4863" width="11" style="16" customWidth="1"/>
    <col min="4864" max="4864" width="23.7109375" style="16" customWidth="1"/>
    <col min="4865" max="5116" width="8.85546875" style="16"/>
    <col min="5117" max="5117" width="57.85546875" style="16" customWidth="1"/>
    <col min="5118" max="5118" width="9.7109375" style="16" customWidth="1"/>
    <col min="5119" max="5119" width="11" style="16" customWidth="1"/>
    <col min="5120" max="5120" width="23.7109375" style="16" customWidth="1"/>
    <col min="5121" max="5372" width="8.85546875" style="16"/>
    <col min="5373" max="5373" width="57.85546875" style="16" customWidth="1"/>
    <col min="5374" max="5374" width="9.7109375" style="16" customWidth="1"/>
    <col min="5375" max="5375" width="11" style="16" customWidth="1"/>
    <col min="5376" max="5376" width="23.7109375" style="16" customWidth="1"/>
    <col min="5377" max="5628" width="8.85546875" style="16"/>
    <col min="5629" max="5629" width="57.85546875" style="16" customWidth="1"/>
    <col min="5630" max="5630" width="9.7109375" style="16" customWidth="1"/>
    <col min="5631" max="5631" width="11" style="16" customWidth="1"/>
    <col min="5632" max="5632" width="23.7109375" style="16" customWidth="1"/>
    <col min="5633" max="5884" width="8.85546875" style="16"/>
    <col min="5885" max="5885" width="57.85546875" style="16" customWidth="1"/>
    <col min="5886" max="5886" width="9.7109375" style="16" customWidth="1"/>
    <col min="5887" max="5887" width="11" style="16" customWidth="1"/>
    <col min="5888" max="5888" width="23.7109375" style="16" customWidth="1"/>
    <col min="5889" max="6140" width="8.85546875" style="16"/>
    <col min="6141" max="6141" width="57.85546875" style="16" customWidth="1"/>
    <col min="6142" max="6142" width="9.7109375" style="16" customWidth="1"/>
    <col min="6143" max="6143" width="11" style="16" customWidth="1"/>
    <col min="6144" max="6144" width="23.7109375" style="16" customWidth="1"/>
    <col min="6145" max="6396" width="8.85546875" style="16"/>
    <col min="6397" max="6397" width="57.85546875" style="16" customWidth="1"/>
    <col min="6398" max="6398" width="9.7109375" style="16" customWidth="1"/>
    <col min="6399" max="6399" width="11" style="16" customWidth="1"/>
    <col min="6400" max="6400" width="23.7109375" style="16" customWidth="1"/>
    <col min="6401" max="6652" width="8.85546875" style="16"/>
    <col min="6653" max="6653" width="57.85546875" style="16" customWidth="1"/>
    <col min="6654" max="6654" width="9.7109375" style="16" customWidth="1"/>
    <col min="6655" max="6655" width="11" style="16" customWidth="1"/>
    <col min="6656" max="6656" width="23.7109375" style="16" customWidth="1"/>
    <col min="6657" max="6908" width="8.85546875" style="16"/>
    <col min="6909" max="6909" width="57.85546875" style="16" customWidth="1"/>
    <col min="6910" max="6910" width="9.7109375" style="16" customWidth="1"/>
    <col min="6911" max="6911" width="11" style="16" customWidth="1"/>
    <col min="6912" max="6912" width="23.7109375" style="16" customWidth="1"/>
    <col min="6913" max="7164" width="8.85546875" style="16"/>
    <col min="7165" max="7165" width="57.85546875" style="16" customWidth="1"/>
    <col min="7166" max="7166" width="9.7109375" style="16" customWidth="1"/>
    <col min="7167" max="7167" width="11" style="16" customWidth="1"/>
    <col min="7168" max="7168" width="23.7109375" style="16" customWidth="1"/>
    <col min="7169" max="7420" width="8.85546875" style="16"/>
    <col min="7421" max="7421" width="57.85546875" style="16" customWidth="1"/>
    <col min="7422" max="7422" width="9.7109375" style="16" customWidth="1"/>
    <col min="7423" max="7423" width="11" style="16" customWidth="1"/>
    <col min="7424" max="7424" width="23.7109375" style="16" customWidth="1"/>
    <col min="7425" max="7676" width="8.85546875" style="16"/>
    <col min="7677" max="7677" width="57.85546875" style="16" customWidth="1"/>
    <col min="7678" max="7678" width="9.7109375" style="16" customWidth="1"/>
    <col min="7679" max="7679" width="11" style="16" customWidth="1"/>
    <col min="7680" max="7680" width="23.7109375" style="16" customWidth="1"/>
    <col min="7681" max="7932" width="8.85546875" style="16"/>
    <col min="7933" max="7933" width="57.85546875" style="16" customWidth="1"/>
    <col min="7934" max="7934" width="9.7109375" style="16" customWidth="1"/>
    <col min="7935" max="7935" width="11" style="16" customWidth="1"/>
    <col min="7936" max="7936" width="23.7109375" style="16" customWidth="1"/>
    <col min="7937" max="8188" width="8.85546875" style="16"/>
    <col min="8189" max="8189" width="57.85546875" style="16" customWidth="1"/>
    <col min="8190" max="8190" width="9.7109375" style="16" customWidth="1"/>
    <col min="8191" max="8191" width="11" style="16" customWidth="1"/>
    <col min="8192" max="8192" width="23.7109375" style="16" customWidth="1"/>
    <col min="8193" max="8444" width="8.85546875" style="16"/>
    <col min="8445" max="8445" width="57.85546875" style="16" customWidth="1"/>
    <col min="8446" max="8446" width="9.7109375" style="16" customWidth="1"/>
    <col min="8447" max="8447" width="11" style="16" customWidth="1"/>
    <col min="8448" max="8448" width="23.7109375" style="16" customWidth="1"/>
    <col min="8449" max="8700" width="8.85546875" style="16"/>
    <col min="8701" max="8701" width="57.85546875" style="16" customWidth="1"/>
    <col min="8702" max="8702" width="9.7109375" style="16" customWidth="1"/>
    <col min="8703" max="8703" width="11" style="16" customWidth="1"/>
    <col min="8704" max="8704" width="23.7109375" style="16" customWidth="1"/>
    <col min="8705" max="8956" width="8.85546875" style="16"/>
    <col min="8957" max="8957" width="57.85546875" style="16" customWidth="1"/>
    <col min="8958" max="8958" width="9.7109375" style="16" customWidth="1"/>
    <col min="8959" max="8959" width="11" style="16" customWidth="1"/>
    <col min="8960" max="8960" width="23.7109375" style="16" customWidth="1"/>
    <col min="8961" max="9212" width="8.85546875" style="16"/>
    <col min="9213" max="9213" width="57.85546875" style="16" customWidth="1"/>
    <col min="9214" max="9214" width="9.7109375" style="16" customWidth="1"/>
    <col min="9215" max="9215" width="11" style="16" customWidth="1"/>
    <col min="9216" max="9216" width="23.7109375" style="16" customWidth="1"/>
    <col min="9217" max="9468" width="8.85546875" style="16"/>
    <col min="9469" max="9469" width="57.85546875" style="16" customWidth="1"/>
    <col min="9470" max="9470" width="9.7109375" style="16" customWidth="1"/>
    <col min="9471" max="9471" width="11" style="16" customWidth="1"/>
    <col min="9472" max="9472" width="23.7109375" style="16" customWidth="1"/>
    <col min="9473" max="9724" width="8.85546875" style="16"/>
    <col min="9725" max="9725" width="57.85546875" style="16" customWidth="1"/>
    <col min="9726" max="9726" width="9.7109375" style="16" customWidth="1"/>
    <col min="9727" max="9727" width="11" style="16" customWidth="1"/>
    <col min="9728" max="9728" width="23.7109375" style="16" customWidth="1"/>
    <col min="9729" max="9980" width="8.85546875" style="16"/>
    <col min="9981" max="9981" width="57.85546875" style="16" customWidth="1"/>
    <col min="9982" max="9982" width="9.7109375" style="16" customWidth="1"/>
    <col min="9983" max="9983" width="11" style="16" customWidth="1"/>
    <col min="9984" max="9984" width="23.7109375" style="16" customWidth="1"/>
    <col min="9985" max="10236" width="8.85546875" style="16"/>
    <col min="10237" max="10237" width="57.85546875" style="16" customWidth="1"/>
    <col min="10238" max="10238" width="9.7109375" style="16" customWidth="1"/>
    <col min="10239" max="10239" width="11" style="16" customWidth="1"/>
    <col min="10240" max="10240" width="23.7109375" style="16" customWidth="1"/>
    <col min="10241" max="10492" width="8.85546875" style="16"/>
    <col min="10493" max="10493" width="57.85546875" style="16" customWidth="1"/>
    <col min="10494" max="10494" width="9.7109375" style="16" customWidth="1"/>
    <col min="10495" max="10495" width="11" style="16" customWidth="1"/>
    <col min="10496" max="10496" width="23.7109375" style="16" customWidth="1"/>
    <col min="10497" max="10748" width="8.85546875" style="16"/>
    <col min="10749" max="10749" width="57.85546875" style="16" customWidth="1"/>
    <col min="10750" max="10750" width="9.7109375" style="16" customWidth="1"/>
    <col min="10751" max="10751" width="11" style="16" customWidth="1"/>
    <col min="10752" max="10752" width="23.7109375" style="16" customWidth="1"/>
    <col min="10753" max="11004" width="8.85546875" style="16"/>
    <col min="11005" max="11005" width="57.85546875" style="16" customWidth="1"/>
    <col min="11006" max="11006" width="9.7109375" style="16" customWidth="1"/>
    <col min="11007" max="11007" width="11" style="16" customWidth="1"/>
    <col min="11008" max="11008" width="23.7109375" style="16" customWidth="1"/>
    <col min="11009" max="11260" width="8.85546875" style="16"/>
    <col min="11261" max="11261" width="57.85546875" style="16" customWidth="1"/>
    <col min="11262" max="11262" width="9.7109375" style="16" customWidth="1"/>
    <col min="11263" max="11263" width="11" style="16" customWidth="1"/>
    <col min="11264" max="11264" width="23.7109375" style="16" customWidth="1"/>
    <col min="11265" max="11516" width="8.85546875" style="16"/>
    <col min="11517" max="11517" width="57.85546875" style="16" customWidth="1"/>
    <col min="11518" max="11518" width="9.7109375" style="16" customWidth="1"/>
    <col min="11519" max="11519" width="11" style="16" customWidth="1"/>
    <col min="11520" max="11520" width="23.7109375" style="16" customWidth="1"/>
    <col min="11521" max="11772" width="8.85546875" style="16"/>
    <col min="11773" max="11773" width="57.85546875" style="16" customWidth="1"/>
    <col min="11774" max="11774" width="9.7109375" style="16" customWidth="1"/>
    <col min="11775" max="11775" width="11" style="16" customWidth="1"/>
    <col min="11776" max="11776" width="23.7109375" style="16" customWidth="1"/>
    <col min="11777" max="12028" width="8.85546875" style="16"/>
    <col min="12029" max="12029" width="57.85546875" style="16" customWidth="1"/>
    <col min="12030" max="12030" width="9.7109375" style="16" customWidth="1"/>
    <col min="12031" max="12031" width="11" style="16" customWidth="1"/>
    <col min="12032" max="12032" width="23.7109375" style="16" customWidth="1"/>
    <col min="12033" max="12284" width="8.85546875" style="16"/>
    <col min="12285" max="12285" width="57.85546875" style="16" customWidth="1"/>
    <col min="12286" max="12286" width="9.7109375" style="16" customWidth="1"/>
    <col min="12287" max="12287" width="11" style="16" customWidth="1"/>
    <col min="12288" max="12288" width="23.7109375" style="16" customWidth="1"/>
    <col min="12289" max="12540" width="8.85546875" style="16"/>
    <col min="12541" max="12541" width="57.85546875" style="16" customWidth="1"/>
    <col min="12542" max="12542" width="9.7109375" style="16" customWidth="1"/>
    <col min="12543" max="12543" width="11" style="16" customWidth="1"/>
    <col min="12544" max="12544" width="23.7109375" style="16" customWidth="1"/>
    <col min="12545" max="12796" width="8.85546875" style="16"/>
    <col min="12797" max="12797" width="57.85546875" style="16" customWidth="1"/>
    <col min="12798" max="12798" width="9.7109375" style="16" customWidth="1"/>
    <col min="12799" max="12799" width="11" style="16" customWidth="1"/>
    <col min="12800" max="12800" width="23.7109375" style="16" customWidth="1"/>
    <col min="12801" max="13052" width="8.85546875" style="16"/>
    <col min="13053" max="13053" width="57.85546875" style="16" customWidth="1"/>
    <col min="13054" max="13054" width="9.7109375" style="16" customWidth="1"/>
    <col min="13055" max="13055" width="11" style="16" customWidth="1"/>
    <col min="13056" max="13056" width="23.7109375" style="16" customWidth="1"/>
    <col min="13057" max="13308" width="8.85546875" style="16"/>
    <col min="13309" max="13309" width="57.85546875" style="16" customWidth="1"/>
    <col min="13310" max="13310" width="9.7109375" style="16" customWidth="1"/>
    <col min="13311" max="13311" width="11" style="16" customWidth="1"/>
    <col min="13312" max="13312" width="23.7109375" style="16" customWidth="1"/>
    <col min="13313" max="13564" width="8.85546875" style="16"/>
    <col min="13565" max="13565" width="57.85546875" style="16" customWidth="1"/>
    <col min="13566" max="13566" width="9.7109375" style="16" customWidth="1"/>
    <col min="13567" max="13567" width="11" style="16" customWidth="1"/>
    <col min="13568" max="13568" width="23.7109375" style="16" customWidth="1"/>
    <col min="13569" max="13820" width="8.85546875" style="16"/>
    <col min="13821" max="13821" width="57.85546875" style="16" customWidth="1"/>
    <col min="13822" max="13822" width="9.7109375" style="16" customWidth="1"/>
    <col min="13823" max="13823" width="11" style="16" customWidth="1"/>
    <col min="13824" max="13824" width="23.7109375" style="16" customWidth="1"/>
    <col min="13825" max="14076" width="8.85546875" style="16"/>
    <col min="14077" max="14077" width="57.85546875" style="16" customWidth="1"/>
    <col min="14078" max="14078" width="9.7109375" style="16" customWidth="1"/>
    <col min="14079" max="14079" width="11" style="16" customWidth="1"/>
    <col min="14080" max="14080" width="23.7109375" style="16" customWidth="1"/>
    <col min="14081" max="14332" width="8.85546875" style="16"/>
    <col min="14333" max="14333" width="57.85546875" style="16" customWidth="1"/>
    <col min="14334" max="14334" width="9.7109375" style="16" customWidth="1"/>
    <col min="14335" max="14335" width="11" style="16" customWidth="1"/>
    <col min="14336" max="14336" width="23.7109375" style="16" customWidth="1"/>
    <col min="14337" max="14588" width="8.85546875" style="16"/>
    <col min="14589" max="14589" width="57.85546875" style="16" customWidth="1"/>
    <col min="14590" max="14590" width="9.7109375" style="16" customWidth="1"/>
    <col min="14591" max="14591" width="11" style="16" customWidth="1"/>
    <col min="14592" max="14592" width="23.7109375" style="16" customWidth="1"/>
    <col min="14593" max="14844" width="8.85546875" style="16"/>
    <col min="14845" max="14845" width="57.85546875" style="16" customWidth="1"/>
    <col min="14846" max="14846" width="9.7109375" style="16" customWidth="1"/>
    <col min="14847" max="14847" width="11" style="16" customWidth="1"/>
    <col min="14848" max="14848" width="23.7109375" style="16" customWidth="1"/>
    <col min="14849" max="15100" width="8.85546875" style="16"/>
    <col min="15101" max="15101" width="57.85546875" style="16" customWidth="1"/>
    <col min="15102" max="15102" width="9.7109375" style="16" customWidth="1"/>
    <col min="15103" max="15103" width="11" style="16" customWidth="1"/>
    <col min="15104" max="15104" width="23.7109375" style="16" customWidth="1"/>
    <col min="15105" max="15356" width="8.85546875" style="16"/>
    <col min="15357" max="15357" width="57.85546875" style="16" customWidth="1"/>
    <col min="15358" max="15358" width="9.7109375" style="16" customWidth="1"/>
    <col min="15359" max="15359" width="11" style="16" customWidth="1"/>
    <col min="15360" max="15360" width="23.7109375" style="16" customWidth="1"/>
    <col min="15361" max="15612" width="8.85546875" style="16"/>
    <col min="15613" max="15613" width="57.85546875" style="16" customWidth="1"/>
    <col min="15614" max="15614" width="9.7109375" style="16" customWidth="1"/>
    <col min="15615" max="15615" width="11" style="16" customWidth="1"/>
    <col min="15616" max="15616" width="23.7109375" style="16" customWidth="1"/>
    <col min="15617" max="15868" width="8.85546875" style="16"/>
    <col min="15869" max="15869" width="57.85546875" style="16" customWidth="1"/>
    <col min="15870" max="15870" width="9.7109375" style="16" customWidth="1"/>
    <col min="15871" max="15871" width="11" style="16" customWidth="1"/>
    <col min="15872" max="15872" width="23.7109375" style="16" customWidth="1"/>
    <col min="15873" max="16124" width="8.85546875" style="16"/>
    <col min="16125" max="16125" width="57.85546875" style="16" customWidth="1"/>
    <col min="16126" max="16126" width="9.7109375" style="16" customWidth="1"/>
    <col min="16127" max="16127" width="11" style="16" customWidth="1"/>
    <col min="16128" max="16128" width="23.7109375" style="16" customWidth="1"/>
    <col min="16129" max="16384" width="8.85546875" style="16"/>
  </cols>
  <sheetData>
    <row r="1" spans="1:3" x14ac:dyDescent="0.25">
      <c r="B1" s="1" t="s">
        <v>361</v>
      </c>
      <c r="C1" s="1"/>
    </row>
    <row r="2" spans="1:3" ht="20.25" x14ac:dyDescent="0.3">
      <c r="A2" s="1075" t="s">
        <v>166</v>
      </c>
      <c r="B2" s="1075"/>
      <c r="C2" s="1075"/>
    </row>
    <row r="4" spans="1:3" ht="37.5" x14ac:dyDescent="0.3">
      <c r="A4" s="346" t="s">
        <v>167</v>
      </c>
      <c r="B4" s="346" t="s">
        <v>168</v>
      </c>
      <c r="C4" s="347" t="s">
        <v>169</v>
      </c>
    </row>
    <row r="5" spans="1:3" ht="31.5" x14ac:dyDescent="0.25">
      <c r="A5" s="223" t="s">
        <v>802</v>
      </c>
      <c r="B5" s="261">
        <v>12900</v>
      </c>
      <c r="C5" s="451">
        <v>3200</v>
      </c>
    </row>
    <row r="6" spans="1:3" ht="31.5" x14ac:dyDescent="0.25">
      <c r="A6" s="223" t="s">
        <v>482</v>
      </c>
      <c r="B6" s="918">
        <f>5883+1388</f>
        <v>7271</v>
      </c>
      <c r="C6" s="451" t="s">
        <v>483</v>
      </c>
    </row>
    <row r="7" spans="1:3" ht="31.5" x14ac:dyDescent="0.25">
      <c r="A7" s="223" t="s">
        <v>329</v>
      </c>
      <c r="B7" s="918">
        <v>500</v>
      </c>
      <c r="C7" s="451">
        <v>2200</v>
      </c>
    </row>
    <row r="8" spans="1:3" x14ac:dyDescent="0.25">
      <c r="A8" s="223" t="s">
        <v>437</v>
      </c>
      <c r="B8" s="918">
        <v>2000</v>
      </c>
      <c r="C8" s="451">
        <v>3200</v>
      </c>
    </row>
    <row r="9" spans="1:3" x14ac:dyDescent="0.25">
      <c r="A9" s="223" t="s">
        <v>539</v>
      </c>
      <c r="B9" s="798">
        <v>10000</v>
      </c>
      <c r="C9" s="451">
        <v>3200</v>
      </c>
    </row>
    <row r="10" spans="1:3" x14ac:dyDescent="0.25">
      <c r="A10" s="223" t="s">
        <v>541</v>
      </c>
      <c r="B10" s="798">
        <v>10000</v>
      </c>
      <c r="C10" s="451">
        <v>3200</v>
      </c>
    </row>
    <row r="11" spans="1:3" x14ac:dyDescent="0.25">
      <c r="A11" s="223" t="s">
        <v>325</v>
      </c>
      <c r="B11" s="798">
        <v>10000</v>
      </c>
      <c r="C11" s="451">
        <v>3200</v>
      </c>
    </row>
    <row r="12" spans="1:3" x14ac:dyDescent="0.25">
      <c r="A12" s="223" t="s">
        <v>540</v>
      </c>
      <c r="B12" s="798">
        <v>6700</v>
      </c>
      <c r="C12" s="451">
        <v>3200</v>
      </c>
    </row>
    <row r="13" spans="1:3" x14ac:dyDescent="0.25">
      <c r="A13" s="223" t="s">
        <v>540</v>
      </c>
      <c r="B13" s="798">
        <v>3300</v>
      </c>
      <c r="C13" s="451">
        <v>2200</v>
      </c>
    </row>
    <row r="14" spans="1:3" ht="31.5" x14ac:dyDescent="0.25">
      <c r="A14" s="223" t="s">
        <v>549</v>
      </c>
      <c r="B14" s="798">
        <v>6000</v>
      </c>
      <c r="C14" s="451">
        <v>3200</v>
      </c>
    </row>
    <row r="15" spans="1:3" ht="31.5" x14ac:dyDescent="0.25">
      <c r="A15" s="223" t="s">
        <v>542</v>
      </c>
      <c r="B15" s="798">
        <v>15000</v>
      </c>
      <c r="C15" s="451">
        <v>3200</v>
      </c>
    </row>
    <row r="16" spans="1:3" ht="31.5" x14ac:dyDescent="0.25">
      <c r="A16" s="223" t="s">
        <v>544</v>
      </c>
      <c r="B16" s="348">
        <v>9600</v>
      </c>
      <c r="C16" s="17">
        <v>2200</v>
      </c>
    </row>
    <row r="17" spans="1:3" x14ac:dyDescent="0.25">
      <c r="A17" s="903" t="s">
        <v>548</v>
      </c>
      <c r="B17" s="348">
        <v>4000</v>
      </c>
      <c r="C17" s="451">
        <v>6400</v>
      </c>
    </row>
    <row r="18" spans="1:3" x14ac:dyDescent="0.25">
      <c r="A18" s="903" t="s">
        <v>548</v>
      </c>
      <c r="B18" s="348">
        <v>1500</v>
      </c>
      <c r="C18" s="451">
        <v>2200</v>
      </c>
    </row>
    <row r="19" spans="1:3" x14ac:dyDescent="0.25">
      <c r="A19" s="16" t="s">
        <v>548</v>
      </c>
      <c r="B19" s="348">
        <v>3000</v>
      </c>
      <c r="C19" s="451" t="s">
        <v>483</v>
      </c>
    </row>
    <row r="20" spans="1:3" x14ac:dyDescent="0.25">
      <c r="A20" s="349" t="s">
        <v>543</v>
      </c>
      <c r="B20" s="348">
        <v>5000</v>
      </c>
      <c r="C20" s="17">
        <v>2231</v>
      </c>
    </row>
    <row r="21" spans="1:3" x14ac:dyDescent="0.25">
      <c r="A21" s="223" t="s">
        <v>271</v>
      </c>
      <c r="B21" s="17">
        <v>2500</v>
      </c>
      <c r="C21" s="17">
        <v>2200</v>
      </c>
    </row>
    <row r="22" spans="1:3" x14ac:dyDescent="0.25">
      <c r="A22" s="350" t="s">
        <v>326</v>
      </c>
      <c r="B22" s="434">
        <v>8400</v>
      </c>
      <c r="C22" s="17">
        <v>6400</v>
      </c>
    </row>
    <row r="23" spans="1:3" x14ac:dyDescent="0.25">
      <c r="A23" s="351" t="s">
        <v>171</v>
      </c>
      <c r="B23" s="451">
        <f>3200+250</f>
        <v>3450</v>
      </c>
      <c r="C23" s="17">
        <v>6400</v>
      </c>
    </row>
    <row r="24" spans="1:3" x14ac:dyDescent="0.25">
      <c r="A24" s="351" t="s">
        <v>171</v>
      </c>
      <c r="B24" s="451">
        <v>140</v>
      </c>
      <c r="C24" s="17">
        <v>2300</v>
      </c>
    </row>
    <row r="25" spans="1:3" x14ac:dyDescent="0.25">
      <c r="A25" s="351" t="s">
        <v>170</v>
      </c>
      <c r="B25" s="451">
        <v>9000</v>
      </c>
      <c r="C25" s="17">
        <v>2200</v>
      </c>
    </row>
    <row r="26" spans="1:3" x14ac:dyDescent="0.25">
      <c r="A26" s="351" t="s">
        <v>170</v>
      </c>
      <c r="B26" s="17">
        <v>1500</v>
      </c>
      <c r="C26" s="17">
        <v>2300</v>
      </c>
    </row>
    <row r="27" spans="1:3" x14ac:dyDescent="0.25">
      <c r="A27" s="351" t="s">
        <v>327</v>
      </c>
      <c r="B27" s="17">
        <v>4200</v>
      </c>
      <c r="C27" s="17">
        <v>6400</v>
      </c>
    </row>
    <row r="28" spans="1:3" x14ac:dyDescent="0.25">
      <c r="A28" s="351" t="s">
        <v>172</v>
      </c>
      <c r="B28" s="17">
        <v>8100</v>
      </c>
      <c r="C28" s="17">
        <v>2200</v>
      </c>
    </row>
    <row r="29" spans="1:3" x14ac:dyDescent="0.25">
      <c r="A29" s="352" t="s">
        <v>682</v>
      </c>
      <c r="B29" s="17">
        <v>4500</v>
      </c>
      <c r="C29" s="17">
        <v>6400</v>
      </c>
    </row>
    <row r="30" spans="1:3" ht="15" customHeight="1" x14ac:dyDescent="0.25">
      <c r="A30" s="352" t="s">
        <v>683</v>
      </c>
      <c r="B30" s="17">
        <v>2500</v>
      </c>
      <c r="C30" s="17">
        <v>2200</v>
      </c>
    </row>
    <row r="31" spans="1:3" ht="30" x14ac:dyDescent="0.25">
      <c r="A31" s="275" t="s">
        <v>272</v>
      </c>
      <c r="B31" s="17">
        <v>3000</v>
      </c>
      <c r="C31" s="17">
        <v>6400</v>
      </c>
    </row>
    <row r="32" spans="1:3" ht="31.5" x14ac:dyDescent="0.25">
      <c r="A32" s="223" t="s">
        <v>546</v>
      </c>
      <c r="B32" s="17">
        <v>5500</v>
      </c>
      <c r="C32" s="17">
        <v>2200</v>
      </c>
    </row>
    <row r="33" spans="1:252" s="213" customFormat="1" x14ac:dyDescent="0.25">
      <c r="A33" s="223" t="s">
        <v>545</v>
      </c>
      <c r="B33" s="348">
        <v>7200</v>
      </c>
      <c r="C33" s="17">
        <v>6400</v>
      </c>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row>
    <row r="34" spans="1:252" x14ac:dyDescent="0.25">
      <c r="A34" s="44" t="s">
        <v>177</v>
      </c>
      <c r="B34" s="46">
        <f>SUM(B5:B33)</f>
        <v>166761</v>
      </c>
      <c r="C34" s="17"/>
    </row>
    <row r="35" spans="1:252" x14ac:dyDescent="0.25">
      <c r="C35" s="354"/>
    </row>
    <row r="36" spans="1:252" x14ac:dyDescent="0.25">
      <c r="A36" s="8" t="s">
        <v>123</v>
      </c>
      <c r="B36" s="1" t="s">
        <v>38</v>
      </c>
    </row>
    <row r="38" spans="1:252" x14ac:dyDescent="0.25">
      <c r="C38" s="353"/>
    </row>
    <row r="39" spans="1:252" x14ac:dyDescent="0.25">
      <c r="C39" s="353"/>
    </row>
    <row r="41" spans="1:252" x14ac:dyDescent="0.25">
      <c r="C41" s="353"/>
    </row>
    <row r="45" spans="1:252" x14ac:dyDescent="0.25">
      <c r="C45" s="354"/>
    </row>
  </sheetData>
  <mergeCells count="1">
    <mergeCell ref="A2:C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2"/>
  <sheetViews>
    <sheetView workbookViewId="0">
      <selection activeCell="I33" sqref="I33"/>
    </sheetView>
  </sheetViews>
  <sheetFormatPr defaultColWidth="9.28515625" defaultRowHeight="15" x14ac:dyDescent="0.25"/>
  <cols>
    <col min="1" max="1" width="7.28515625" style="1" customWidth="1"/>
    <col min="2" max="2" width="46.140625" style="8" customWidth="1"/>
    <col min="3" max="3" width="11.140625" style="1" customWidth="1"/>
    <col min="4" max="4" width="10.28515625" style="1" customWidth="1"/>
    <col min="5" max="5" width="9.42578125" style="1" customWidth="1"/>
    <col min="6" max="16384" width="9.28515625" style="1"/>
  </cols>
  <sheetData>
    <row r="1" spans="1:6" x14ac:dyDescent="0.25">
      <c r="B1" s="167" t="s">
        <v>0</v>
      </c>
      <c r="D1" s="1" t="s">
        <v>361</v>
      </c>
    </row>
    <row r="2" spans="1:6" x14ac:dyDescent="0.25">
      <c r="B2" s="167"/>
    </row>
    <row r="3" spans="1:6" x14ac:dyDescent="0.25">
      <c r="A3" s="3" t="s">
        <v>45</v>
      </c>
    </row>
    <row r="4" spans="1:6" ht="29.25" x14ac:dyDescent="0.25">
      <c r="B4" s="118" t="s">
        <v>381</v>
      </c>
    </row>
    <row r="5" spans="1:6" x14ac:dyDescent="0.25">
      <c r="A5" s="3" t="s">
        <v>108</v>
      </c>
      <c r="C5" s="103" t="s">
        <v>190</v>
      </c>
      <c r="D5" s="103" t="s">
        <v>191</v>
      </c>
      <c r="E5" s="117" t="s">
        <v>192</v>
      </c>
      <c r="F5" s="117" t="s">
        <v>214</v>
      </c>
    </row>
    <row r="6" spans="1:6" s="8" customFormat="1" ht="60.75" thickBot="1" x14ac:dyDescent="0.3">
      <c r="B6" s="118"/>
      <c r="C6" s="119" t="s">
        <v>33</v>
      </c>
      <c r="D6" s="119" t="s">
        <v>110</v>
      </c>
      <c r="E6" s="119" t="s">
        <v>63</v>
      </c>
      <c r="F6" s="8" t="s">
        <v>215</v>
      </c>
    </row>
    <row r="7" spans="1:6" ht="31.5" customHeight="1" thickBot="1" x14ac:dyDescent="0.35">
      <c r="A7" s="255" t="s">
        <v>7</v>
      </c>
      <c r="B7" s="256" t="s">
        <v>10</v>
      </c>
      <c r="C7" s="254" t="s">
        <v>382</v>
      </c>
      <c r="D7" s="254" t="s">
        <v>382</v>
      </c>
      <c r="E7" s="254" t="s">
        <v>382</v>
      </c>
      <c r="F7" s="59" t="s">
        <v>382</v>
      </c>
    </row>
    <row r="8" spans="1:6" x14ac:dyDescent="0.25">
      <c r="A8" s="157">
        <v>1100</v>
      </c>
      <c r="B8" s="168" t="s">
        <v>11</v>
      </c>
      <c r="C8" s="128">
        <f>353200+360089</f>
        <v>713289</v>
      </c>
      <c r="D8" s="200">
        <v>60000</v>
      </c>
      <c r="E8" s="170"/>
      <c r="F8" s="170"/>
    </row>
    <row r="9" spans="1:6" ht="29.25" customHeight="1" x14ac:dyDescent="0.25">
      <c r="A9" s="66">
        <v>1200</v>
      </c>
      <c r="B9" s="67" t="s">
        <v>12</v>
      </c>
      <c r="C9" s="355">
        <f>164577+105801</f>
        <v>270378</v>
      </c>
      <c r="D9" s="68">
        <v>14154</v>
      </c>
      <c r="E9" s="68"/>
      <c r="F9" s="68"/>
    </row>
    <row r="10" spans="1:6" x14ac:dyDescent="0.25">
      <c r="A10" s="66">
        <v>2000</v>
      </c>
      <c r="B10" s="67" t="s">
        <v>13</v>
      </c>
      <c r="C10" s="107">
        <f t="shared" ref="C10:F10" si="0">SUM(C11:C15)</f>
        <v>131458</v>
      </c>
      <c r="D10" s="107">
        <f t="shared" si="0"/>
        <v>129976</v>
      </c>
      <c r="E10" s="107">
        <f t="shared" si="0"/>
        <v>10130</v>
      </c>
      <c r="F10" s="107">
        <f t="shared" si="0"/>
        <v>87120</v>
      </c>
    </row>
    <row r="11" spans="1:6" x14ac:dyDescent="0.25">
      <c r="A11" s="66">
        <v>2100</v>
      </c>
      <c r="B11" s="67" t="s">
        <v>14</v>
      </c>
      <c r="C11" s="137">
        <v>40</v>
      </c>
      <c r="D11" s="137"/>
      <c r="E11" s="107"/>
      <c r="F11" s="107"/>
    </row>
    <row r="12" spans="1:6" x14ac:dyDescent="0.25">
      <c r="A12" s="66">
        <v>2200</v>
      </c>
      <c r="B12" s="67" t="s">
        <v>15</v>
      </c>
      <c r="C12" s="137">
        <f>17050+60949</f>
        <v>77999</v>
      </c>
      <c r="D12" s="107">
        <v>79976</v>
      </c>
      <c r="E12" s="107">
        <v>7200</v>
      </c>
      <c r="F12" s="107">
        <v>87120</v>
      </c>
    </row>
    <row r="13" spans="1:6" ht="30" x14ac:dyDescent="0.25">
      <c r="A13" s="66">
        <v>2300</v>
      </c>
      <c r="B13" s="67" t="s">
        <v>16</v>
      </c>
      <c r="C13" s="137">
        <f>31990+19929</f>
        <v>51919</v>
      </c>
      <c r="D13" s="107">
        <v>50000</v>
      </c>
      <c r="E13" s="107">
        <v>2930</v>
      </c>
      <c r="F13" s="107"/>
    </row>
    <row r="14" spans="1:6" x14ac:dyDescent="0.25">
      <c r="A14" s="66">
        <v>2400</v>
      </c>
      <c r="B14" s="77" t="s">
        <v>55</v>
      </c>
      <c r="C14" s="137"/>
      <c r="D14" s="171"/>
      <c r="E14" s="110"/>
      <c r="F14" s="110"/>
    </row>
    <row r="15" spans="1:6" x14ac:dyDescent="0.25">
      <c r="A15" s="66">
        <v>2500</v>
      </c>
      <c r="B15" s="67" t="s">
        <v>17</v>
      </c>
      <c r="C15" s="137">
        <f>1000+500</f>
        <v>1500</v>
      </c>
      <c r="D15" s="137"/>
      <c r="E15" s="107"/>
      <c r="F15" s="107"/>
    </row>
    <row r="16" spans="1:6" x14ac:dyDescent="0.25">
      <c r="A16" s="66">
        <v>4200</v>
      </c>
      <c r="B16" s="67" t="s">
        <v>19</v>
      </c>
      <c r="C16" s="137"/>
      <c r="D16" s="137"/>
      <c r="E16" s="107"/>
      <c r="F16" s="107"/>
    </row>
    <row r="17" spans="1:6" x14ac:dyDescent="0.25">
      <c r="A17" s="66">
        <v>4300</v>
      </c>
      <c r="B17" s="67" t="s">
        <v>20</v>
      </c>
      <c r="C17" s="137"/>
      <c r="D17" s="137"/>
      <c r="E17" s="107"/>
      <c r="F17" s="107"/>
    </row>
    <row r="18" spans="1:6" x14ac:dyDescent="0.25">
      <c r="A18" s="66">
        <v>5100</v>
      </c>
      <c r="B18" s="67" t="s">
        <v>22</v>
      </c>
      <c r="C18" s="107">
        <v>100</v>
      </c>
      <c r="D18" s="133"/>
      <c r="E18" s="107"/>
      <c r="F18" s="107"/>
    </row>
    <row r="19" spans="1:6" x14ac:dyDescent="0.25">
      <c r="A19" s="66">
        <v>5200</v>
      </c>
      <c r="B19" s="67" t="s">
        <v>23</v>
      </c>
      <c r="C19" s="107">
        <f>650+960</f>
        <v>1610</v>
      </c>
      <c r="D19" s="140"/>
      <c r="E19" s="139">
        <v>20000</v>
      </c>
      <c r="F19" s="139"/>
    </row>
    <row r="20" spans="1:6" x14ac:dyDescent="0.25">
      <c r="A20" s="66">
        <v>6000</v>
      </c>
      <c r="B20" s="67" t="s">
        <v>53</v>
      </c>
      <c r="C20" s="137">
        <f>SUM(C21:C22)</f>
        <v>0</v>
      </c>
      <c r="D20" s="137">
        <f>SUM(D21:D22)</f>
        <v>0</v>
      </c>
      <c r="E20" s="137">
        <f>SUM(E21:E22)</f>
        <v>0</v>
      </c>
      <c r="F20" s="137">
        <f>SUM(F21:F22)</f>
        <v>0</v>
      </c>
    </row>
    <row r="21" spans="1:6" s="5" customFormat="1" x14ac:dyDescent="0.25">
      <c r="A21" s="66">
        <v>6200</v>
      </c>
      <c r="B21" s="67" t="s">
        <v>24</v>
      </c>
      <c r="C21" s="137"/>
      <c r="D21" s="137"/>
      <c r="E21" s="107"/>
      <c r="F21" s="107"/>
    </row>
    <row r="22" spans="1:6" x14ac:dyDescent="0.25">
      <c r="A22" s="66">
        <v>6300</v>
      </c>
      <c r="B22" s="67" t="s">
        <v>54</v>
      </c>
      <c r="C22" s="141"/>
      <c r="D22" s="141"/>
      <c r="E22" s="137"/>
      <c r="F22" s="137"/>
    </row>
    <row r="23" spans="1:6" ht="15.75" thickBot="1" x14ac:dyDescent="0.3">
      <c r="A23" s="66">
        <v>7200</v>
      </c>
      <c r="B23" s="67" t="s">
        <v>25</v>
      </c>
      <c r="C23" s="137"/>
      <c r="D23" s="137"/>
      <c r="E23" s="137"/>
      <c r="F23" s="137"/>
    </row>
    <row r="24" spans="1:6" ht="15.75" thickBot="1" x14ac:dyDescent="0.3">
      <c r="A24" s="57"/>
      <c r="B24" s="172" t="s">
        <v>26</v>
      </c>
      <c r="C24" s="97">
        <f t="shared" ref="C24:F24" si="1">SUM(C8+C9+C10+C16+C17+C18+C19+C20+C23)</f>
        <v>1116835</v>
      </c>
      <c r="D24" s="203">
        <f t="shared" si="1"/>
        <v>204130</v>
      </c>
      <c r="E24" s="112">
        <f t="shared" si="1"/>
        <v>30130</v>
      </c>
      <c r="F24" s="112">
        <f t="shared" si="1"/>
        <v>87120</v>
      </c>
    </row>
    <row r="25" spans="1:6" x14ac:dyDescent="0.25">
      <c r="B25" s="148"/>
      <c r="E25" s="3"/>
    </row>
    <row r="26" spans="1:6" x14ac:dyDescent="0.25">
      <c r="B26" s="8" t="s">
        <v>123</v>
      </c>
      <c r="C26" s="1" t="s">
        <v>38</v>
      </c>
    </row>
    <row r="27" spans="1:6" x14ac:dyDescent="0.25">
      <c r="B27" s="167"/>
    </row>
    <row r="28" spans="1:6" x14ac:dyDescent="0.25">
      <c r="B28" s="2"/>
      <c r="C28" s="217"/>
      <c r="D28" s="217"/>
      <c r="E28" s="217"/>
      <c r="F28" s="217"/>
    </row>
    <row r="29" spans="1:6" x14ac:dyDescent="0.25">
      <c r="B29" s="680"/>
    </row>
    <row r="32" spans="1:6" x14ac:dyDescent="0.25">
      <c r="B32" s="167"/>
    </row>
  </sheetData>
  <pageMargins left="0.7" right="0.7" top="0.75" bottom="0.75" header="0.3" footer="0.3"/>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56"/>
  <sheetViews>
    <sheetView tabSelected="1" topLeftCell="A45" workbookViewId="0">
      <selection activeCell="E37" sqref="E37"/>
    </sheetView>
  </sheetViews>
  <sheetFormatPr defaultColWidth="9.28515625" defaultRowHeight="15" x14ac:dyDescent="0.25"/>
  <cols>
    <col min="1" max="1" width="7.140625" style="1" customWidth="1"/>
    <col min="2" max="2" width="46.85546875" style="1" customWidth="1"/>
    <col min="3" max="3" width="10.42578125" style="1" customWidth="1"/>
    <col min="4" max="4" width="10.140625" style="1" customWidth="1"/>
    <col min="5" max="5" width="9.140625" style="1" customWidth="1"/>
    <col min="6" max="6" width="10.28515625" style="1" customWidth="1"/>
    <col min="7" max="7" width="9.42578125" style="1" bestFit="1" customWidth="1"/>
    <col min="8" max="8" width="10.7109375" style="1" customWidth="1"/>
    <col min="9" max="16384" width="9.28515625" style="1"/>
  </cols>
  <sheetData>
    <row r="1" spans="1:8" x14ac:dyDescent="0.25">
      <c r="B1" s="2" t="s">
        <v>0</v>
      </c>
      <c r="E1" s="1" t="s">
        <v>361</v>
      </c>
    </row>
    <row r="3" spans="1:8" x14ac:dyDescent="0.25">
      <c r="A3" s="173" t="s">
        <v>46</v>
      </c>
      <c r="B3" s="173"/>
      <c r="C3" s="173"/>
    </row>
    <row r="4" spans="1:8" x14ac:dyDescent="0.25">
      <c r="B4" s="3" t="s">
        <v>381</v>
      </c>
    </row>
    <row r="5" spans="1:8" ht="31.5" customHeight="1" x14ac:dyDescent="0.25">
      <c r="A5" s="3" t="s">
        <v>108</v>
      </c>
      <c r="C5" s="103" t="s">
        <v>76</v>
      </c>
      <c r="D5" s="103" t="s">
        <v>77</v>
      </c>
      <c r="E5" s="103" t="s">
        <v>173</v>
      </c>
      <c r="F5" s="103" t="s">
        <v>733</v>
      </c>
      <c r="G5" s="117" t="s">
        <v>193</v>
      </c>
      <c r="H5" s="963">
        <v>10.4001</v>
      </c>
    </row>
    <row r="6" spans="1:8" ht="75.75" thickBot="1" x14ac:dyDescent="0.3">
      <c r="A6" s="4"/>
      <c r="B6" s="4"/>
      <c r="C6" s="315" t="s">
        <v>34</v>
      </c>
      <c r="D6" s="315" t="s">
        <v>35</v>
      </c>
      <c r="E6" s="315" t="s">
        <v>174</v>
      </c>
      <c r="F6" s="1001" t="s">
        <v>734</v>
      </c>
      <c r="G6" s="105" t="s">
        <v>66</v>
      </c>
      <c r="H6" s="315" t="s">
        <v>386</v>
      </c>
    </row>
    <row r="7" spans="1:8" ht="38.25" customHeight="1" thickBot="1" x14ac:dyDescent="0.35">
      <c r="A7" s="174" t="s">
        <v>7</v>
      </c>
      <c r="B7" s="58" t="s">
        <v>10</v>
      </c>
      <c r="C7" s="175" t="s">
        <v>382</v>
      </c>
      <c r="D7" s="175" t="s">
        <v>382</v>
      </c>
      <c r="E7" s="175" t="s">
        <v>382</v>
      </c>
      <c r="F7" s="175" t="s">
        <v>382</v>
      </c>
      <c r="G7" s="175" t="s">
        <v>382</v>
      </c>
      <c r="H7" s="59" t="s">
        <v>382</v>
      </c>
    </row>
    <row r="8" spans="1:8" x14ac:dyDescent="0.25">
      <c r="A8" s="151">
        <v>1100</v>
      </c>
      <c r="B8" s="152" t="s">
        <v>11</v>
      </c>
      <c r="C8" s="128">
        <v>1290511</v>
      </c>
      <c r="D8" s="176"/>
      <c r="E8" s="176">
        <v>617364</v>
      </c>
      <c r="F8" s="176">
        <v>217733</v>
      </c>
      <c r="G8" s="176">
        <v>1800</v>
      </c>
      <c r="H8" s="170">
        <v>286492</v>
      </c>
    </row>
    <row r="9" spans="1:8" ht="26.25" customHeight="1" x14ac:dyDescent="0.25">
      <c r="A9" s="153">
        <v>1200</v>
      </c>
      <c r="B9" s="67" t="s">
        <v>12</v>
      </c>
      <c r="C9" s="76">
        <v>382437</v>
      </c>
      <c r="D9" s="107"/>
      <c r="E9" s="68">
        <v>147636</v>
      </c>
      <c r="F9" s="68">
        <v>62904</v>
      </c>
      <c r="G9" s="68">
        <v>425</v>
      </c>
      <c r="H9" s="68">
        <v>78951</v>
      </c>
    </row>
    <row r="10" spans="1:8" x14ac:dyDescent="0.25">
      <c r="A10" s="153">
        <v>2000</v>
      </c>
      <c r="B10" s="73" t="s">
        <v>13</v>
      </c>
      <c r="C10" s="107">
        <f>SUM(C11:C15)</f>
        <v>262159</v>
      </c>
      <c r="D10" s="107"/>
      <c r="E10" s="107">
        <f>SUM(E11:E15)</f>
        <v>0</v>
      </c>
      <c r="F10" s="107">
        <f>SUM(F11:F15)</f>
        <v>95006</v>
      </c>
      <c r="G10" s="107"/>
      <c r="H10" s="107">
        <f>SUM(H11:H15)</f>
        <v>30014</v>
      </c>
    </row>
    <row r="11" spans="1:8" x14ac:dyDescent="0.25">
      <c r="A11" s="153">
        <v>2100</v>
      </c>
      <c r="B11" s="73" t="s">
        <v>14</v>
      </c>
      <c r="C11" s="107">
        <v>5918</v>
      </c>
      <c r="D11" s="107"/>
      <c r="E11" s="107"/>
      <c r="F11" s="107"/>
      <c r="G11" s="107"/>
      <c r="H11" s="107">
        <v>1150</v>
      </c>
    </row>
    <row r="12" spans="1:8" x14ac:dyDescent="0.25">
      <c r="A12" s="153">
        <v>2200</v>
      </c>
      <c r="B12" s="73" t="s">
        <v>15</v>
      </c>
      <c r="C12" s="133">
        <v>138551</v>
      </c>
      <c r="D12" s="107"/>
      <c r="E12" s="107"/>
      <c r="F12" s="107">
        <v>33335</v>
      </c>
      <c r="G12" s="107"/>
      <c r="H12" s="107">
        <v>17564</v>
      </c>
    </row>
    <row r="13" spans="1:8" ht="30" x14ac:dyDescent="0.25">
      <c r="A13" s="153">
        <v>2300</v>
      </c>
      <c r="B13" s="67" t="s">
        <v>16</v>
      </c>
      <c r="C13" s="133">
        <v>117690</v>
      </c>
      <c r="D13" s="107"/>
      <c r="E13" s="107"/>
      <c r="F13" s="107">
        <v>61271</v>
      </c>
      <c r="G13" s="107"/>
      <c r="H13" s="107">
        <v>11300</v>
      </c>
    </row>
    <row r="14" spans="1:8" x14ac:dyDescent="0.25">
      <c r="A14" s="153">
        <v>2400</v>
      </c>
      <c r="B14" s="77" t="s">
        <v>55</v>
      </c>
      <c r="C14" s="133"/>
      <c r="D14" s="107"/>
      <c r="E14" s="107"/>
      <c r="F14" s="107"/>
      <c r="G14" s="107"/>
      <c r="H14" s="110"/>
    </row>
    <row r="15" spans="1:8" x14ac:dyDescent="0.25">
      <c r="A15" s="153">
        <v>2500</v>
      </c>
      <c r="B15" s="73" t="s">
        <v>17</v>
      </c>
      <c r="C15" s="133"/>
      <c r="D15" s="107"/>
      <c r="E15" s="107"/>
      <c r="F15" s="107">
        <v>400</v>
      </c>
      <c r="G15" s="107"/>
      <c r="H15" s="107"/>
    </row>
    <row r="16" spans="1:8" x14ac:dyDescent="0.25">
      <c r="A16" s="153">
        <v>3200</v>
      </c>
      <c r="B16" s="73" t="s">
        <v>18</v>
      </c>
      <c r="C16" s="133"/>
      <c r="D16" s="107"/>
      <c r="E16" s="107"/>
      <c r="F16" s="107"/>
      <c r="G16" s="107"/>
      <c r="H16" s="107"/>
    </row>
    <row r="17" spans="1:25" x14ac:dyDescent="0.25">
      <c r="A17" s="153">
        <v>4200</v>
      </c>
      <c r="B17" s="73" t="s">
        <v>19</v>
      </c>
      <c r="C17" s="133"/>
      <c r="D17" s="107"/>
      <c r="E17" s="107"/>
      <c r="F17" s="107"/>
      <c r="G17" s="107"/>
      <c r="H17" s="107"/>
    </row>
    <row r="18" spans="1:25" x14ac:dyDescent="0.25">
      <c r="A18" s="153">
        <v>4300</v>
      </c>
      <c r="B18" s="73" t="s">
        <v>20</v>
      </c>
      <c r="C18" s="133"/>
      <c r="D18" s="107"/>
      <c r="E18" s="107"/>
      <c r="F18" s="107"/>
      <c r="G18" s="107"/>
      <c r="H18" s="107"/>
    </row>
    <row r="19" spans="1:25" x14ac:dyDescent="0.25">
      <c r="A19" s="153">
        <v>5100</v>
      </c>
      <c r="B19" s="73" t="s">
        <v>22</v>
      </c>
      <c r="C19" s="133">
        <v>2860</v>
      </c>
      <c r="D19" s="107"/>
      <c r="E19" s="107"/>
      <c r="F19" s="107"/>
      <c r="G19" s="107"/>
      <c r="H19" s="107">
        <v>500</v>
      </c>
    </row>
    <row r="20" spans="1:25" x14ac:dyDescent="0.25">
      <c r="A20" s="153">
        <v>5200</v>
      </c>
      <c r="B20" s="73" t="s">
        <v>23</v>
      </c>
      <c r="C20" s="133">
        <v>10190</v>
      </c>
      <c r="D20" s="107"/>
      <c r="E20" s="107"/>
      <c r="F20" s="107">
        <v>44014</v>
      </c>
      <c r="G20" s="107"/>
      <c r="H20" s="107">
        <v>5600</v>
      </c>
    </row>
    <row r="21" spans="1:25" s="6" customFormat="1" x14ac:dyDescent="0.25">
      <c r="A21" s="153">
        <v>6000</v>
      </c>
      <c r="B21" s="73" t="s">
        <v>53</v>
      </c>
      <c r="C21" s="106">
        <f t="shared" ref="C21:G21" si="0">SUM(C22:C24)</f>
        <v>0</v>
      </c>
      <c r="D21" s="106">
        <f t="shared" si="0"/>
        <v>2956435</v>
      </c>
      <c r="E21" s="106">
        <f t="shared" si="0"/>
        <v>15000</v>
      </c>
      <c r="F21" s="106"/>
      <c r="G21" s="106">
        <f t="shared" si="0"/>
        <v>36000</v>
      </c>
      <c r="H21" s="106">
        <f>SUM(H22:H25)</f>
        <v>0</v>
      </c>
    </row>
    <row r="22" spans="1:25" s="6" customFormat="1" x14ac:dyDescent="0.25">
      <c r="A22" s="153">
        <v>6200</v>
      </c>
      <c r="B22" s="73" t="s">
        <v>24</v>
      </c>
      <c r="C22" s="106"/>
      <c r="D22" s="107">
        <v>734985</v>
      </c>
      <c r="E22" s="106"/>
      <c r="F22" s="106"/>
      <c r="G22" s="106">
        <v>36000</v>
      </c>
      <c r="H22" s="106"/>
    </row>
    <row r="23" spans="1:25" s="6" customFormat="1" x14ac:dyDescent="0.25">
      <c r="A23" s="153">
        <v>6300</v>
      </c>
      <c r="B23" s="73" t="s">
        <v>54</v>
      </c>
      <c r="C23" s="177"/>
      <c r="D23" s="107">
        <v>789699</v>
      </c>
      <c r="E23" s="107"/>
      <c r="F23" s="107"/>
      <c r="G23" s="177"/>
      <c r="H23" s="177"/>
    </row>
    <row r="24" spans="1:25" x14ac:dyDescent="0.25">
      <c r="A24" s="153">
        <v>6400</v>
      </c>
      <c r="B24" s="73" t="s">
        <v>72</v>
      </c>
      <c r="C24" s="178"/>
      <c r="D24" s="107">
        <v>1431751</v>
      </c>
      <c r="E24" s="107">
        <v>15000</v>
      </c>
      <c r="F24" s="107"/>
      <c r="G24" s="179"/>
      <c r="H24" s="179"/>
    </row>
    <row r="25" spans="1:25" ht="30" x14ac:dyDescent="0.25">
      <c r="A25" s="153">
        <v>6500</v>
      </c>
      <c r="B25" s="406" t="s">
        <v>318</v>
      </c>
      <c r="C25" s="178"/>
      <c r="D25" s="107"/>
      <c r="E25" s="107"/>
      <c r="F25" s="107"/>
      <c r="G25" s="201"/>
      <c r="H25" s="201"/>
    </row>
    <row r="26" spans="1:25" ht="15.75" thickBot="1" x14ac:dyDescent="0.3">
      <c r="A26" s="153">
        <v>7200</v>
      </c>
      <c r="B26" s="73" t="s">
        <v>25</v>
      </c>
      <c r="C26" s="135"/>
      <c r="D26" s="107"/>
      <c r="E26" s="200"/>
      <c r="F26" s="200"/>
      <c r="G26" s="180"/>
      <c r="H26" s="181"/>
    </row>
    <row r="27" spans="1:25" ht="15.75" thickBot="1" x14ac:dyDescent="0.3">
      <c r="A27" s="155"/>
      <c r="B27" s="96" t="s">
        <v>26</v>
      </c>
      <c r="C27" s="203">
        <f>SUM(C8+C9+C10+C16+C17+C18+C19+C20+C21+C26)</f>
        <v>1948157</v>
      </c>
      <c r="D27" s="645">
        <f>SUM(D8+D9+D10+D17+D18+D19+D20+D21+D26)</f>
        <v>2956435</v>
      </c>
      <c r="E27" s="112">
        <f>SUM(E8+E9+E10+E17+E18+E19+E20+E21+E26)</f>
        <v>780000</v>
      </c>
      <c r="F27" s="112">
        <f>SUM(F8+F9+F10+F17+F18+F19+F20+F21+F26)</f>
        <v>419657</v>
      </c>
      <c r="G27" s="203">
        <f>SUM(G8+G9+G10+G17+G18+G19+G20+G21+G26)</f>
        <v>38225</v>
      </c>
      <c r="H27" s="97">
        <f>SUM(H8+H9+H10+H17+H18+H19+H20+H21+H26)</f>
        <v>401557</v>
      </c>
      <c r="J27" s="336"/>
      <c r="K27" s="334"/>
      <c r="L27" s="334"/>
      <c r="M27" s="334"/>
      <c r="N27" s="334"/>
    </row>
    <row r="28" spans="1:25" x14ac:dyDescent="0.25">
      <c r="B28" s="148"/>
      <c r="C28" s="15"/>
      <c r="D28" s="15"/>
      <c r="E28" s="13"/>
      <c r="F28" s="13"/>
      <c r="G28" s="101"/>
      <c r="H28" s="101"/>
    </row>
    <row r="29" spans="1:25" x14ac:dyDescent="0.25">
      <c r="C29" s="15"/>
      <c r="D29" s="15"/>
      <c r="E29" s="13"/>
      <c r="F29" s="13"/>
      <c r="G29" s="101"/>
      <c r="H29" s="101"/>
    </row>
    <row r="30" spans="1:25" x14ac:dyDescent="0.25">
      <c r="B30" s="4"/>
      <c r="D30" s="8"/>
      <c r="E30" s="8"/>
      <c r="F30" s="8"/>
      <c r="G30" s="182" t="s">
        <v>385</v>
      </c>
      <c r="J30" s="6"/>
      <c r="K30" s="105"/>
      <c r="L30" s="446"/>
      <c r="M30" s="6"/>
      <c r="N30" s="6"/>
      <c r="O30" s="6"/>
      <c r="P30" s="6"/>
      <c r="Q30" s="6"/>
      <c r="R30" s="6"/>
      <c r="S30" s="6"/>
      <c r="T30" s="6"/>
      <c r="U30" s="6"/>
      <c r="V30" s="6"/>
      <c r="W30" s="6"/>
      <c r="X30" s="6"/>
      <c r="Y30" s="6"/>
    </row>
    <row r="31" spans="1:25" x14ac:dyDescent="0.25">
      <c r="B31" s="356" t="s">
        <v>273</v>
      </c>
      <c r="D31" s="147"/>
      <c r="E31" s="147"/>
      <c r="F31" s="147"/>
      <c r="G31" s="182" t="s">
        <v>114</v>
      </c>
      <c r="H31" s="6"/>
      <c r="J31" s="6"/>
      <c r="K31" s="147"/>
      <c r="L31" s="182"/>
      <c r="M31" s="6"/>
      <c r="N31" s="6"/>
      <c r="O31" s="6"/>
      <c r="P31" s="6"/>
      <c r="Q31" s="6"/>
      <c r="R31" s="6"/>
      <c r="S31" s="6"/>
      <c r="T31" s="6"/>
      <c r="U31" s="6"/>
      <c r="V31" s="6"/>
      <c r="W31" s="6"/>
      <c r="X31" s="6"/>
      <c r="Y31" s="6"/>
    </row>
    <row r="32" spans="1:25" x14ac:dyDescent="0.25">
      <c r="B32" s="962" t="s">
        <v>217</v>
      </c>
      <c r="C32" s="342"/>
      <c r="D32" s="101"/>
      <c r="E32" s="101"/>
      <c r="F32" s="101"/>
      <c r="G32" s="329">
        <v>2000</v>
      </c>
      <c r="J32" s="6"/>
      <c r="K32" s="329"/>
      <c r="L32" s="329"/>
      <c r="M32" s="6"/>
      <c r="N32" s="6"/>
      <c r="O32" s="6"/>
      <c r="P32" s="6"/>
      <c r="Q32" s="6"/>
      <c r="R32" s="6"/>
      <c r="S32" s="6"/>
      <c r="T32" s="6"/>
      <c r="U32" s="6"/>
      <c r="V32" s="6"/>
      <c r="W32" s="6"/>
      <c r="X32" s="6"/>
      <c r="Y32" s="6"/>
    </row>
    <row r="33" spans="1:25" x14ac:dyDescent="0.25">
      <c r="B33" s="1004" t="s">
        <v>739</v>
      </c>
      <c r="C33" s="342"/>
      <c r="D33" s="101"/>
      <c r="E33" s="101"/>
      <c r="F33" s="101"/>
      <c r="G33" s="329">
        <v>2000</v>
      </c>
      <c r="J33" s="6"/>
      <c r="K33" s="329"/>
      <c r="L33" s="329"/>
      <c r="M33" s="6"/>
      <c r="N33" s="6"/>
      <c r="O33" s="6"/>
      <c r="P33" s="6"/>
      <c r="Q33" s="6"/>
      <c r="R33" s="6"/>
      <c r="S33" s="6"/>
      <c r="T33" s="6"/>
      <c r="U33" s="6"/>
      <c r="V33" s="6"/>
      <c r="W33" s="6"/>
      <c r="X33" s="6"/>
      <c r="Y33" s="6"/>
    </row>
    <row r="34" spans="1:25" x14ac:dyDescent="0.25">
      <c r="B34" s="1005" t="s">
        <v>741</v>
      </c>
      <c r="C34" s="342"/>
      <c r="D34" s="101"/>
      <c r="E34" s="101"/>
      <c r="F34" s="101"/>
      <c r="G34" s="329">
        <v>1000</v>
      </c>
      <c r="J34" s="6"/>
      <c r="K34" s="329"/>
      <c r="L34" s="329"/>
      <c r="M34" s="6"/>
      <c r="N34" s="6"/>
      <c r="O34" s="6"/>
      <c r="P34" s="6"/>
      <c r="Q34" s="6"/>
      <c r="R34" s="6"/>
      <c r="S34" s="6"/>
      <c r="T34" s="6"/>
      <c r="U34" s="6"/>
      <c r="V34" s="6"/>
      <c r="W34" s="6"/>
      <c r="X34" s="6"/>
      <c r="Y34" s="6"/>
    </row>
    <row r="35" spans="1:25" x14ac:dyDescent="0.25">
      <c r="B35" s="962" t="s">
        <v>480</v>
      </c>
      <c r="C35" s="342"/>
      <c r="D35" s="101"/>
      <c r="E35" s="101"/>
      <c r="F35" s="101"/>
      <c r="G35" s="329">
        <v>2000</v>
      </c>
      <c r="J35" s="6"/>
      <c r="K35" s="329"/>
      <c r="L35" s="329"/>
      <c r="M35" s="6"/>
      <c r="N35" s="6"/>
      <c r="O35" s="6"/>
      <c r="P35" s="6"/>
      <c r="Q35" s="6"/>
      <c r="R35" s="6"/>
      <c r="S35" s="6"/>
      <c r="T35" s="6"/>
      <c r="U35" s="6"/>
      <c r="V35" s="6"/>
      <c r="W35" s="6"/>
      <c r="X35" s="6"/>
      <c r="Y35" s="6"/>
    </row>
    <row r="36" spans="1:25" x14ac:dyDescent="0.25">
      <c r="B36" s="962" t="s">
        <v>481</v>
      </c>
      <c r="C36" s="342"/>
      <c r="D36" s="101"/>
      <c r="E36" s="101"/>
      <c r="F36" s="101"/>
      <c r="G36" s="329">
        <f>2532-588-444</f>
        <v>1500</v>
      </c>
      <c r="J36" s="6"/>
      <c r="K36" s="329"/>
      <c r="L36" s="329"/>
      <c r="M36" s="6"/>
      <c r="N36" s="6"/>
      <c r="O36" s="6"/>
      <c r="P36" s="6"/>
      <c r="Q36" s="6"/>
      <c r="R36" s="6"/>
      <c r="S36" s="6"/>
      <c r="T36" s="6"/>
      <c r="U36" s="6"/>
      <c r="V36" s="6"/>
      <c r="W36" s="6"/>
      <c r="X36" s="6"/>
      <c r="Y36" s="6"/>
    </row>
    <row r="37" spans="1:25" ht="18.75" customHeight="1" x14ac:dyDescent="0.25">
      <c r="B37" s="962" t="s">
        <v>223</v>
      </c>
      <c r="C37" s="342"/>
      <c r="D37" s="13"/>
      <c r="E37" s="13"/>
      <c r="F37" s="13"/>
      <c r="G37" s="329">
        <v>59280</v>
      </c>
      <c r="J37" s="6"/>
      <c r="K37" s="15"/>
      <c r="L37" s="329"/>
      <c r="M37" s="6"/>
      <c r="N37" s="6"/>
      <c r="O37" s="6"/>
      <c r="P37" s="6"/>
      <c r="Q37" s="6"/>
      <c r="R37" s="6"/>
      <c r="S37" s="6"/>
      <c r="T37" s="6"/>
      <c r="U37" s="6"/>
      <c r="V37" s="6"/>
      <c r="W37" s="6"/>
      <c r="X37" s="6"/>
      <c r="Y37" s="6"/>
    </row>
    <row r="38" spans="1:25" x14ac:dyDescent="0.25">
      <c r="B38" s="1076" t="s">
        <v>218</v>
      </c>
      <c r="C38" s="1076"/>
      <c r="D38" s="101"/>
      <c r="E38" s="101"/>
      <c r="F38" s="101"/>
      <c r="G38" s="183">
        <v>400</v>
      </c>
      <c r="J38" s="6"/>
      <c r="K38" s="329"/>
      <c r="L38" s="183"/>
      <c r="M38" s="6"/>
      <c r="N38" s="6"/>
      <c r="O38" s="6"/>
      <c r="P38" s="6"/>
      <c r="Q38" s="6"/>
      <c r="R38" s="6"/>
      <c r="S38" s="6"/>
      <c r="T38" s="6"/>
      <c r="U38" s="6"/>
      <c r="V38" s="6"/>
      <c r="W38" s="6"/>
      <c r="X38" s="6"/>
      <c r="Y38" s="6"/>
    </row>
    <row r="39" spans="1:25" x14ac:dyDescent="0.25">
      <c r="B39" s="51" t="s">
        <v>219</v>
      </c>
      <c r="C39" s="343"/>
      <c r="D39" s="3"/>
      <c r="E39" s="3"/>
      <c r="F39" s="3"/>
      <c r="G39" s="247">
        <v>150</v>
      </c>
      <c r="J39" s="6"/>
      <c r="K39" s="183"/>
      <c r="L39" s="247"/>
      <c r="M39" s="6"/>
      <c r="N39" s="6"/>
      <c r="O39" s="6"/>
      <c r="P39" s="6"/>
      <c r="Q39" s="6"/>
      <c r="R39" s="6"/>
      <c r="S39" s="6"/>
      <c r="T39" s="6"/>
      <c r="U39" s="6"/>
      <c r="V39" s="6"/>
      <c r="W39" s="6"/>
      <c r="X39" s="6"/>
      <c r="Y39" s="6"/>
    </row>
    <row r="40" spans="1:25" x14ac:dyDescent="0.25">
      <c r="B40" s="51" t="s">
        <v>224</v>
      </c>
      <c r="C40" s="343"/>
      <c r="D40" s="184"/>
      <c r="E40" s="184"/>
      <c r="F40" s="184"/>
      <c r="G40" s="247">
        <v>150</v>
      </c>
      <c r="J40" s="6"/>
      <c r="K40" s="248"/>
      <c r="L40" s="6"/>
      <c r="M40" s="6"/>
      <c r="N40" s="6"/>
      <c r="O40" s="6"/>
      <c r="P40" s="6"/>
      <c r="Q40" s="6"/>
      <c r="R40" s="6"/>
      <c r="S40" s="6"/>
      <c r="T40" s="6"/>
      <c r="U40" s="6"/>
      <c r="V40" s="6"/>
      <c r="W40" s="6"/>
      <c r="X40" s="6"/>
      <c r="Y40" s="6"/>
    </row>
    <row r="41" spans="1:25" x14ac:dyDescent="0.25">
      <c r="B41" s="51" t="s">
        <v>225</v>
      </c>
      <c r="C41" s="343"/>
      <c r="D41" s="184"/>
      <c r="E41" s="184"/>
      <c r="F41" s="184"/>
      <c r="G41" s="6">
        <v>120</v>
      </c>
      <c r="J41" s="6"/>
      <c r="K41" s="248"/>
      <c r="L41" s="6"/>
      <c r="M41" s="6"/>
      <c r="N41" s="6"/>
      <c r="O41" s="6"/>
      <c r="P41" s="6"/>
      <c r="Q41" s="6"/>
      <c r="R41" s="6"/>
      <c r="S41" s="6"/>
      <c r="T41" s="6"/>
      <c r="U41" s="6"/>
      <c r="V41" s="6"/>
      <c r="W41" s="6"/>
      <c r="X41" s="6"/>
      <c r="Y41" s="6"/>
    </row>
    <row r="42" spans="1:25" x14ac:dyDescent="0.25">
      <c r="B42" s="51" t="s">
        <v>220</v>
      </c>
      <c r="C42" s="343"/>
      <c r="G42" s="6">
        <v>150</v>
      </c>
      <c r="H42" s="183"/>
      <c r="J42" s="6"/>
      <c r="K42" s="6"/>
      <c r="L42" s="6"/>
      <c r="M42" s="183"/>
      <c r="N42" s="6"/>
      <c r="O42" s="6"/>
      <c r="P42" s="6"/>
      <c r="Q42" s="6"/>
      <c r="R42" s="6"/>
      <c r="S42" s="6"/>
      <c r="T42" s="6"/>
      <c r="U42" s="6"/>
      <c r="V42" s="6"/>
      <c r="W42" s="6"/>
      <c r="X42" s="6"/>
      <c r="Y42" s="6"/>
    </row>
    <row r="43" spans="1:25" x14ac:dyDescent="0.25">
      <c r="B43" s="147" t="s">
        <v>436</v>
      </c>
      <c r="C43" s="998"/>
      <c r="D43" s="3"/>
      <c r="E43" s="3"/>
      <c r="F43" s="3"/>
      <c r="G43" s="183">
        <v>165</v>
      </c>
      <c r="H43" s="183"/>
      <c r="J43" s="6"/>
      <c r="K43" s="6"/>
      <c r="L43" s="6"/>
      <c r="M43" s="183"/>
      <c r="N43" s="6"/>
      <c r="O43" s="6"/>
      <c r="P43" s="6"/>
      <c r="Q43" s="6"/>
      <c r="R43" s="6"/>
      <c r="S43" s="6"/>
      <c r="T43" s="6"/>
      <c r="U43" s="6"/>
      <c r="V43" s="6"/>
      <c r="W43" s="6"/>
      <c r="X43" s="6"/>
      <c r="Y43" s="6"/>
    </row>
    <row r="44" spans="1:25" x14ac:dyDescent="0.25">
      <c r="B44" s="357" t="s">
        <v>124</v>
      </c>
      <c r="C44" s="344"/>
      <c r="D44" s="185"/>
      <c r="E44" s="185"/>
      <c r="F44" s="185"/>
      <c r="G44" s="248">
        <f>SUM(G39:G43)</f>
        <v>735</v>
      </c>
      <c r="H44" s="3"/>
      <c r="J44" s="6"/>
      <c r="K44" s="974"/>
      <c r="L44" s="248"/>
      <c r="M44" s="183"/>
      <c r="N44" s="6"/>
      <c r="O44" s="6"/>
      <c r="P44" s="6"/>
      <c r="Q44" s="6"/>
      <c r="R44" s="6"/>
      <c r="S44" s="6"/>
      <c r="T44" s="6"/>
      <c r="U44" s="6"/>
      <c r="V44" s="6"/>
      <c r="W44" s="6"/>
      <c r="X44" s="6"/>
      <c r="Y44" s="6"/>
    </row>
    <row r="45" spans="1:25" x14ac:dyDescent="0.25">
      <c r="B45" s="51" t="s">
        <v>742</v>
      </c>
      <c r="C45" s="344"/>
      <c r="D45" s="185"/>
      <c r="E45" s="185"/>
      <c r="F45" s="185"/>
      <c r="G45" s="248">
        <v>650</v>
      </c>
      <c r="H45" s="3"/>
      <c r="J45" s="6"/>
      <c r="K45" s="974"/>
      <c r="L45" s="248"/>
      <c r="M45" s="183"/>
      <c r="N45" s="6"/>
      <c r="O45" s="6"/>
      <c r="P45" s="6"/>
      <c r="Q45" s="6"/>
      <c r="R45" s="6"/>
      <c r="S45" s="6"/>
      <c r="T45" s="6"/>
      <c r="U45" s="6"/>
      <c r="V45" s="6"/>
      <c r="W45" s="6"/>
      <c r="X45" s="6"/>
      <c r="Y45" s="6"/>
    </row>
    <row r="46" spans="1:25" x14ac:dyDescent="0.25">
      <c r="B46" s="51" t="s">
        <v>435</v>
      </c>
      <c r="C46" s="343"/>
      <c r="G46" s="183">
        <v>1000</v>
      </c>
      <c r="H46" s="3"/>
      <c r="J46" s="6"/>
      <c r="K46" s="974"/>
      <c r="L46" s="248"/>
      <c r="M46" s="183"/>
      <c r="N46" s="6"/>
      <c r="O46" s="6"/>
      <c r="P46" s="6"/>
      <c r="Q46" s="6"/>
      <c r="R46" s="6"/>
      <c r="S46" s="6"/>
      <c r="T46" s="6"/>
      <c r="U46" s="6"/>
      <c r="V46" s="6"/>
      <c r="W46" s="6"/>
      <c r="X46" s="6"/>
      <c r="Y46" s="6"/>
    </row>
    <row r="47" spans="1:25" ht="28.5" customHeight="1" x14ac:dyDescent="0.25">
      <c r="A47" s="14"/>
      <c r="B47" s="186" t="s">
        <v>221</v>
      </c>
      <c r="C47" s="344"/>
      <c r="D47" s="3"/>
      <c r="E47" s="3"/>
      <c r="F47" s="3"/>
      <c r="G47" s="6">
        <v>500</v>
      </c>
      <c r="H47" s="3"/>
      <c r="J47" s="6"/>
      <c r="K47" s="183"/>
      <c r="L47" s="6"/>
      <c r="M47" s="183"/>
      <c r="N47" s="6"/>
      <c r="O47" s="6"/>
      <c r="P47" s="6"/>
      <c r="Q47" s="6"/>
      <c r="R47" s="6"/>
      <c r="S47" s="6"/>
      <c r="T47" s="6"/>
      <c r="U47" s="6"/>
      <c r="V47" s="6"/>
      <c r="W47" s="6"/>
      <c r="X47" s="6"/>
      <c r="Y47" s="6"/>
    </row>
    <row r="48" spans="1:25" x14ac:dyDescent="0.25">
      <c r="A48" s="14"/>
      <c r="B48" s="358" t="s">
        <v>187</v>
      </c>
      <c r="C48" s="344"/>
      <c r="D48" s="3"/>
      <c r="E48" s="3"/>
      <c r="F48" s="3"/>
      <c r="G48" s="183">
        <f>SUM(G47:G47)</f>
        <v>500</v>
      </c>
      <c r="H48" s="3"/>
      <c r="J48" s="6"/>
      <c r="K48" s="183"/>
      <c r="L48" s="183"/>
      <c r="M48" s="183"/>
      <c r="N48" s="6"/>
      <c r="O48" s="6"/>
      <c r="P48" s="6"/>
      <c r="Q48" s="6"/>
      <c r="R48" s="6"/>
      <c r="S48" s="6"/>
      <c r="T48" s="6"/>
      <c r="U48" s="6"/>
      <c r="V48" s="6"/>
      <c r="W48" s="6"/>
      <c r="X48" s="6"/>
      <c r="Y48" s="6"/>
    </row>
    <row r="49" spans="2:25" x14ac:dyDescent="0.25">
      <c r="B49" s="962" t="s">
        <v>274</v>
      </c>
      <c r="C49" s="334"/>
      <c r="G49" s="3">
        <v>500</v>
      </c>
      <c r="J49" s="6"/>
      <c r="K49" s="6"/>
      <c r="L49" s="183"/>
      <c r="M49" s="6"/>
      <c r="N49" s="6"/>
      <c r="O49" s="6"/>
      <c r="P49" s="6"/>
      <c r="Q49" s="6"/>
      <c r="R49" s="6"/>
      <c r="S49" s="6"/>
      <c r="T49" s="6"/>
      <c r="U49" s="6"/>
      <c r="V49" s="6"/>
      <c r="W49" s="6"/>
      <c r="X49" s="6"/>
      <c r="Y49" s="6"/>
    </row>
    <row r="50" spans="2:25" x14ac:dyDescent="0.25">
      <c r="B50" s="407" t="s">
        <v>434</v>
      </c>
      <c r="C50" s="334"/>
      <c r="G50" s="3">
        <v>5000</v>
      </c>
      <c r="J50" s="6"/>
      <c r="K50" s="6"/>
      <c r="L50" s="183"/>
      <c r="M50" s="6"/>
      <c r="N50" s="6"/>
      <c r="O50" s="6"/>
      <c r="P50" s="6"/>
      <c r="Q50" s="6"/>
      <c r="R50" s="6"/>
      <c r="S50" s="6"/>
      <c r="T50" s="6"/>
      <c r="U50" s="6"/>
      <c r="V50" s="6"/>
      <c r="W50" s="6"/>
      <c r="X50" s="6"/>
      <c r="Y50" s="6"/>
    </row>
    <row r="51" spans="2:25" x14ac:dyDescent="0.25">
      <c r="B51" s="102" t="s">
        <v>222</v>
      </c>
      <c r="C51" s="334"/>
      <c r="G51" s="166">
        <f>G32+G33+G34+G35+G36+G37+G38+G44+G45+G46+G48+G49+G50</f>
        <v>76565</v>
      </c>
      <c r="J51" s="6"/>
      <c r="K51" s="6"/>
      <c r="L51" s="975"/>
      <c r="M51" s="6"/>
      <c r="N51" s="6"/>
      <c r="O51" s="6"/>
      <c r="P51" s="6"/>
      <c r="Q51" s="6"/>
      <c r="R51" s="6"/>
      <c r="S51" s="6"/>
      <c r="T51" s="6"/>
      <c r="U51" s="6"/>
      <c r="V51" s="6"/>
      <c r="W51" s="6"/>
      <c r="X51" s="6"/>
      <c r="Y51" s="6"/>
    </row>
    <row r="52" spans="2:25" x14ac:dyDescent="0.25">
      <c r="J52" s="6"/>
      <c r="K52" s="6"/>
      <c r="L52" s="6"/>
      <c r="M52" s="6"/>
      <c r="N52" s="6"/>
      <c r="O52" s="6"/>
      <c r="P52" s="6"/>
      <c r="Q52" s="6"/>
      <c r="R52" s="6"/>
      <c r="S52" s="6"/>
      <c r="T52" s="6"/>
      <c r="U52" s="6"/>
      <c r="V52" s="6"/>
      <c r="W52" s="6"/>
      <c r="X52" s="6"/>
      <c r="Y52" s="6"/>
    </row>
    <row r="53" spans="2:25" x14ac:dyDescent="0.25">
      <c r="B53" s="8" t="s">
        <v>123</v>
      </c>
      <c r="C53" s="8"/>
      <c r="D53" s="1" t="s">
        <v>38</v>
      </c>
      <c r="J53" s="6"/>
      <c r="K53" s="6"/>
      <c r="L53" s="6"/>
      <c r="M53" s="6"/>
      <c r="N53" s="6"/>
      <c r="O53" s="6"/>
      <c r="P53" s="6"/>
      <c r="Q53" s="6"/>
      <c r="R53" s="6"/>
      <c r="S53" s="6"/>
      <c r="T53" s="6"/>
      <c r="U53" s="6"/>
      <c r="V53" s="6"/>
      <c r="W53" s="6"/>
      <c r="X53" s="6"/>
      <c r="Y53" s="6"/>
    </row>
    <row r="54" spans="2:25" x14ac:dyDescent="0.25">
      <c r="B54" s="2"/>
      <c r="J54" s="6"/>
      <c r="K54" s="6"/>
      <c r="L54" s="6"/>
      <c r="M54" s="6"/>
      <c r="N54" s="6"/>
      <c r="O54" s="6"/>
      <c r="P54" s="6"/>
      <c r="Q54" s="6"/>
      <c r="R54" s="6"/>
      <c r="S54" s="6"/>
      <c r="T54" s="6"/>
      <c r="U54" s="6"/>
      <c r="V54" s="6"/>
      <c r="W54" s="6"/>
      <c r="X54" s="6"/>
      <c r="Y54" s="6"/>
    </row>
    <row r="55" spans="2:25" x14ac:dyDescent="0.25">
      <c r="J55" s="6"/>
      <c r="K55" s="6"/>
      <c r="L55" s="6"/>
      <c r="M55" s="6"/>
      <c r="N55" s="6"/>
      <c r="O55" s="6"/>
      <c r="P55" s="6"/>
      <c r="Q55" s="6"/>
      <c r="R55" s="6"/>
      <c r="S55" s="6"/>
      <c r="T55" s="6"/>
      <c r="U55" s="6"/>
      <c r="V55" s="6"/>
      <c r="W55" s="6"/>
      <c r="X55" s="6"/>
      <c r="Y55" s="6"/>
    </row>
    <row r="56" spans="2:25" x14ac:dyDescent="0.25">
      <c r="J56" s="6"/>
      <c r="K56" s="6"/>
      <c r="L56" s="6"/>
      <c r="M56" s="6"/>
      <c r="N56" s="6"/>
      <c r="O56" s="6"/>
      <c r="P56" s="6"/>
      <c r="Q56" s="6"/>
      <c r="R56" s="6"/>
      <c r="S56" s="6"/>
      <c r="T56" s="6"/>
      <c r="U56" s="6"/>
      <c r="V56" s="6"/>
      <c r="W56" s="6"/>
      <c r="X56" s="6"/>
      <c r="Y56" s="6"/>
    </row>
  </sheetData>
  <mergeCells count="1">
    <mergeCell ref="B38:C3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U36"/>
  <sheetViews>
    <sheetView zoomScale="93" zoomScaleNormal="93" zoomScaleSheetLayoutView="87" workbookViewId="0">
      <selection activeCell="AD11" sqref="AD11"/>
    </sheetView>
  </sheetViews>
  <sheetFormatPr defaultRowHeight="12.75" x14ac:dyDescent="0.2"/>
  <cols>
    <col min="1" max="2" width="6.5703125" style="618" customWidth="1"/>
    <col min="3" max="3" width="37.42578125" style="618" customWidth="1"/>
    <col min="4" max="4" width="13" style="618" customWidth="1"/>
    <col min="5" max="5" width="16" style="618" customWidth="1"/>
    <col min="6" max="6" width="14.5703125" style="618" customWidth="1"/>
    <col min="7" max="7" width="10" style="618" customWidth="1"/>
    <col min="8" max="8" width="11.28515625" style="618" customWidth="1"/>
    <col min="9" max="9" width="17" style="797" customWidth="1"/>
    <col min="10" max="11" width="11.5703125" style="618" customWidth="1"/>
    <col min="12" max="12" width="17.7109375" style="618" customWidth="1"/>
    <col min="13" max="13" width="11.140625" style="618" customWidth="1"/>
    <col min="14" max="14" width="10.85546875" style="618" customWidth="1"/>
    <col min="15" max="15" width="14.5703125" style="618" customWidth="1"/>
    <col min="16" max="18" width="11.85546875" style="618" customWidth="1"/>
    <col min="19" max="19" width="13.5703125" style="618" customWidth="1"/>
    <col min="20" max="20" width="10" style="618" customWidth="1"/>
    <col min="21" max="22" width="11.7109375" style="618" customWidth="1"/>
    <col min="23" max="23" width="12.140625" style="618" customWidth="1"/>
    <col min="24" max="24" width="11.140625" style="797" customWidth="1"/>
    <col min="25" max="28" width="10.140625" style="618" customWidth="1"/>
    <col min="29" max="29" width="11.7109375" style="618" customWidth="1"/>
    <col min="30" max="30" width="13" style="618" customWidth="1"/>
    <col min="31" max="31" width="9.140625" style="618"/>
    <col min="32" max="32" width="12.140625" style="618" customWidth="1"/>
    <col min="33" max="33" width="14.140625" style="618" customWidth="1"/>
    <col min="34" max="35" width="12.140625" style="618" customWidth="1"/>
    <col min="36" max="37" width="12.85546875" style="618" customWidth="1"/>
    <col min="38" max="38" width="16.7109375" style="797" customWidth="1"/>
    <col min="39" max="39" width="16.42578125" style="797" customWidth="1"/>
    <col min="40" max="41" width="11.5703125" style="797" customWidth="1"/>
    <col min="42" max="45" width="13.42578125" style="734" customWidth="1"/>
    <col min="46" max="46" width="13.42578125" style="618" customWidth="1"/>
    <col min="47" max="16384" width="9.140625" style="618"/>
  </cols>
  <sheetData>
    <row r="1" spans="1:47" s="615" customFormat="1" ht="15" x14ac:dyDescent="0.25">
      <c r="A1" s="308"/>
      <c r="B1" s="308"/>
      <c r="C1" s="663" t="s">
        <v>361</v>
      </c>
      <c r="D1" s="308"/>
      <c r="E1" s="612"/>
      <c r="F1" s="613"/>
      <c r="G1" s="310"/>
      <c r="H1" s="308"/>
      <c r="I1" s="308"/>
      <c r="J1" s="308"/>
      <c r="K1" s="308"/>
      <c r="L1" s="614"/>
      <c r="M1" s="308"/>
      <c r="N1" s="308"/>
      <c r="O1" s="308"/>
      <c r="P1" s="308"/>
      <c r="Q1" s="308"/>
      <c r="R1" s="308"/>
      <c r="S1" s="310"/>
      <c r="T1" s="308"/>
      <c r="U1" s="308"/>
      <c r="V1" s="308"/>
      <c r="W1" s="308"/>
      <c r="X1" s="308"/>
      <c r="Y1" s="308"/>
      <c r="Z1" s="308"/>
      <c r="AA1" s="308"/>
      <c r="AB1" s="308"/>
      <c r="AC1" s="308"/>
      <c r="AD1" s="308"/>
      <c r="AM1" s="725"/>
      <c r="AN1" s="725"/>
      <c r="AO1" s="725"/>
      <c r="AP1" s="308"/>
      <c r="AQ1" s="308"/>
      <c r="AR1" s="308"/>
      <c r="AS1" s="308"/>
      <c r="AT1" s="308"/>
    </row>
    <row r="2" spans="1:47" s="617" customFormat="1" ht="15" x14ac:dyDescent="0.25">
      <c r="A2" s="311"/>
      <c r="B2" s="311"/>
      <c r="C2" s="616" t="s">
        <v>0</v>
      </c>
      <c r="D2" s="311"/>
      <c r="E2" s="311"/>
      <c r="F2" s="311"/>
      <c r="G2" s="311"/>
      <c r="H2" s="311"/>
      <c r="I2" s="311"/>
      <c r="J2" s="311"/>
      <c r="K2" s="311"/>
      <c r="L2" s="311"/>
      <c r="M2" s="311"/>
      <c r="N2" s="311"/>
      <c r="O2" s="311"/>
      <c r="P2" s="311"/>
      <c r="Q2" s="311"/>
      <c r="R2" s="311"/>
      <c r="S2" s="311"/>
      <c r="T2" s="311"/>
      <c r="U2" s="311"/>
      <c r="V2" s="311"/>
      <c r="W2" s="311"/>
      <c r="X2" s="311"/>
      <c r="Y2" s="311"/>
      <c r="Z2" s="311"/>
      <c r="AA2" s="308"/>
      <c r="AB2" s="308"/>
      <c r="AC2" s="308"/>
      <c r="AD2" s="308"/>
      <c r="AE2" s="615"/>
      <c r="AF2" s="615"/>
      <c r="AH2" s="615"/>
      <c r="AI2" s="615"/>
      <c r="AJ2" s="615"/>
      <c r="AK2" s="615"/>
      <c r="AL2" s="615"/>
      <c r="AM2" s="615"/>
      <c r="AN2" s="615"/>
      <c r="AO2" s="615"/>
      <c r="AP2" s="308"/>
      <c r="AQ2" s="308" t="s">
        <v>566</v>
      </c>
      <c r="AR2" s="308" t="s">
        <v>561</v>
      </c>
      <c r="AS2" s="308" t="s">
        <v>561</v>
      </c>
      <c r="AT2" s="308"/>
    </row>
    <row r="3" spans="1:47" s="730" customFormat="1" ht="14.25" x14ac:dyDescent="0.2">
      <c r="A3" s="726" t="s">
        <v>238</v>
      </c>
      <c r="B3" s="727"/>
      <c r="C3" s="728"/>
      <c r="D3" s="727"/>
      <c r="E3" s="729"/>
      <c r="F3" s="729"/>
      <c r="G3" s="729"/>
      <c r="H3" s="729"/>
      <c r="I3" s="729"/>
      <c r="J3" s="729"/>
      <c r="K3" s="729"/>
      <c r="L3" s="729"/>
      <c r="M3" s="729"/>
      <c r="N3" s="729"/>
      <c r="O3" s="729"/>
      <c r="P3" s="729"/>
      <c r="Q3" s="729"/>
      <c r="R3" s="729"/>
      <c r="S3" s="729"/>
      <c r="T3" s="729"/>
      <c r="U3" s="729"/>
      <c r="V3" s="729"/>
      <c r="W3" s="729"/>
      <c r="X3" s="729"/>
      <c r="Y3" s="729"/>
      <c r="Z3" s="729"/>
      <c r="AA3" s="729"/>
      <c r="AB3" s="729"/>
      <c r="AC3" s="729"/>
      <c r="AD3" s="729"/>
      <c r="AP3" s="729"/>
      <c r="AQ3" s="729" t="s">
        <v>559</v>
      </c>
      <c r="AR3" s="729" t="s">
        <v>565</v>
      </c>
      <c r="AS3" s="729" t="s">
        <v>559</v>
      </c>
      <c r="AT3" s="729"/>
    </row>
    <row r="4" spans="1:47" s="623" customFormat="1" ht="15.75" thickBot="1" x14ac:dyDescent="0.3">
      <c r="A4" s="619" t="s">
        <v>410</v>
      </c>
      <c r="B4" s="620"/>
      <c r="C4" s="621"/>
      <c r="D4" s="621"/>
      <c r="E4" s="292"/>
      <c r="F4" s="292"/>
      <c r="G4" s="292"/>
      <c r="H4" s="292"/>
      <c r="I4" s="622"/>
      <c r="J4" s="292"/>
      <c r="K4" s="292"/>
      <c r="L4" s="292"/>
      <c r="M4" s="292"/>
      <c r="N4" s="292"/>
      <c r="O4" s="292"/>
      <c r="P4" s="292"/>
      <c r="Q4" s="292"/>
      <c r="R4" s="292"/>
      <c r="S4" s="292"/>
      <c r="T4" s="292"/>
      <c r="U4" s="292"/>
      <c r="V4" s="292"/>
      <c r="W4" s="731"/>
      <c r="X4" s="731"/>
      <c r="Y4" s="731"/>
      <c r="Z4" s="292"/>
      <c r="AA4" s="731"/>
      <c r="AB4" s="731"/>
      <c r="AC4" s="731"/>
      <c r="AD4" s="731"/>
      <c r="AE4" s="731"/>
      <c r="AF4" s="731"/>
      <c r="AG4" s="731"/>
      <c r="AH4" s="731"/>
      <c r="AI4" s="731"/>
      <c r="AJ4" s="731"/>
      <c r="AK4" s="731"/>
      <c r="AL4" s="732"/>
      <c r="AM4" s="732"/>
      <c r="AN4" s="622"/>
      <c r="AO4" s="622"/>
      <c r="AP4" s="292"/>
      <c r="AQ4" s="292"/>
      <c r="AR4" s="292"/>
      <c r="AS4" s="292"/>
      <c r="AT4" s="292"/>
    </row>
    <row r="5" spans="1:47" ht="15.75" x14ac:dyDescent="0.25">
      <c r="A5" s="1077" t="s">
        <v>159</v>
      </c>
      <c r="B5" s="1078"/>
      <c r="C5" s="1078"/>
      <c r="D5" s="624"/>
      <c r="E5" s="942" t="s">
        <v>198</v>
      </c>
      <c r="F5" s="944" t="s">
        <v>199</v>
      </c>
      <c r="G5" s="942" t="s">
        <v>216</v>
      </c>
      <c r="H5" s="942" t="s">
        <v>155</v>
      </c>
      <c r="I5" s="1032" t="s">
        <v>356</v>
      </c>
      <c r="J5" s="942" t="s">
        <v>92</v>
      </c>
      <c r="K5" s="942" t="s">
        <v>453</v>
      </c>
      <c r="L5" s="942" t="s">
        <v>301</v>
      </c>
      <c r="M5" s="942" t="s">
        <v>302</v>
      </c>
      <c r="N5" s="942" t="s">
        <v>355</v>
      </c>
      <c r="O5" s="942" t="s">
        <v>363</v>
      </c>
      <c r="P5" s="942" t="s">
        <v>366</v>
      </c>
      <c r="Q5" s="942" t="s">
        <v>587</v>
      </c>
      <c r="R5" s="942" t="s">
        <v>454</v>
      </c>
      <c r="S5" s="942" t="s">
        <v>368</v>
      </c>
      <c r="T5" s="942" t="s">
        <v>239</v>
      </c>
      <c r="U5" s="945" t="s">
        <v>240</v>
      </c>
      <c r="V5" s="942" t="s">
        <v>800</v>
      </c>
      <c r="W5" s="945" t="s">
        <v>588</v>
      </c>
      <c r="X5" s="945" t="s">
        <v>567</v>
      </c>
      <c r="Y5" s="945" t="s">
        <v>589</v>
      </c>
      <c r="Z5" s="942" t="s">
        <v>590</v>
      </c>
      <c r="AA5" s="942" t="s">
        <v>591</v>
      </c>
      <c r="AB5" s="945" t="s">
        <v>555</v>
      </c>
      <c r="AC5" s="945" t="s">
        <v>568</v>
      </c>
      <c r="AD5" s="945" t="s">
        <v>569</v>
      </c>
      <c r="AE5" s="945" t="s">
        <v>570</v>
      </c>
      <c r="AF5" s="945" t="s">
        <v>571</v>
      </c>
      <c r="AG5" s="945" t="s">
        <v>680</v>
      </c>
      <c r="AH5" s="944" t="s">
        <v>377</v>
      </c>
      <c r="AI5" s="944" t="s">
        <v>378</v>
      </c>
      <c r="AJ5" s="295" t="s">
        <v>379</v>
      </c>
      <c r="AK5" s="295" t="s">
        <v>556</v>
      </c>
      <c r="AL5" s="1033" t="s">
        <v>572</v>
      </c>
      <c r="AM5" s="1033" t="s">
        <v>573</v>
      </c>
      <c r="AN5" s="1034" t="s">
        <v>522</v>
      </c>
      <c r="AO5" s="1035" t="s">
        <v>574</v>
      </c>
      <c r="AP5" s="942" t="s">
        <v>575</v>
      </c>
      <c r="AQ5" s="942" t="s">
        <v>576</v>
      </c>
      <c r="AR5" s="942" t="s">
        <v>577</v>
      </c>
      <c r="AS5" s="942" t="s">
        <v>578</v>
      </c>
      <c r="AT5" s="941" t="s">
        <v>586</v>
      </c>
    </row>
    <row r="6" spans="1:47" s="733" customFormat="1" ht="78.75" customHeight="1" thickBot="1" x14ac:dyDescent="0.25">
      <c r="A6" s="1079" t="s">
        <v>8</v>
      </c>
      <c r="B6" s="1080"/>
      <c r="C6" s="1081"/>
      <c r="D6" s="904" t="s">
        <v>113</v>
      </c>
      <c r="E6" s="908" t="s">
        <v>300</v>
      </c>
      <c r="F6" s="908" t="s">
        <v>115</v>
      </c>
      <c r="G6" s="908" t="s">
        <v>212</v>
      </c>
      <c r="H6" s="908" t="s">
        <v>156</v>
      </c>
      <c r="I6" s="955" t="s">
        <v>359</v>
      </c>
      <c r="J6" s="906" t="s">
        <v>357</v>
      </c>
      <c r="K6" s="906" t="s">
        <v>457</v>
      </c>
      <c r="L6" s="905" t="s">
        <v>411</v>
      </c>
      <c r="M6" s="905" t="s">
        <v>412</v>
      </c>
      <c r="N6" s="907" t="s">
        <v>413</v>
      </c>
      <c r="O6" s="907" t="s">
        <v>364</v>
      </c>
      <c r="P6" s="907" t="s">
        <v>367</v>
      </c>
      <c r="Q6" s="907" t="s">
        <v>581</v>
      </c>
      <c r="R6" s="907" t="s">
        <v>458</v>
      </c>
      <c r="S6" s="905" t="s">
        <v>369</v>
      </c>
      <c r="T6" s="905" t="s">
        <v>358</v>
      </c>
      <c r="U6" s="905" t="s">
        <v>414</v>
      </c>
      <c r="V6" s="908" t="s">
        <v>801</v>
      </c>
      <c r="W6" s="905" t="s">
        <v>415</v>
      </c>
      <c r="X6" s="908" t="s">
        <v>416</v>
      </c>
      <c r="Y6" s="905" t="s">
        <v>417</v>
      </c>
      <c r="Z6" s="933" t="s">
        <v>582</v>
      </c>
      <c r="AA6" s="947" t="s">
        <v>419</v>
      </c>
      <c r="AB6" s="908" t="s">
        <v>554</v>
      </c>
      <c r="AC6" s="908" t="s">
        <v>676</v>
      </c>
      <c r="AD6" s="908" t="s">
        <v>420</v>
      </c>
      <c r="AE6" s="908" t="s">
        <v>421</v>
      </c>
      <c r="AF6" s="908" t="s">
        <v>422</v>
      </c>
      <c r="AG6" s="908" t="s">
        <v>423</v>
      </c>
      <c r="AH6" s="955" t="s">
        <v>424</v>
      </c>
      <c r="AI6" s="955" t="s">
        <v>425</v>
      </c>
      <c r="AJ6" s="955" t="s">
        <v>426</v>
      </c>
      <c r="AK6" s="955" t="s">
        <v>720</v>
      </c>
      <c r="AL6" s="955" t="s">
        <v>681</v>
      </c>
      <c r="AM6" s="955" t="s">
        <v>730</v>
      </c>
      <c r="AN6" s="955" t="s">
        <v>427</v>
      </c>
      <c r="AO6" s="955" t="s">
        <v>489</v>
      </c>
      <c r="AP6" s="956" t="s">
        <v>459</v>
      </c>
      <c r="AQ6" s="956" t="s">
        <v>460</v>
      </c>
      <c r="AR6" s="956" t="s">
        <v>461</v>
      </c>
      <c r="AS6" s="956" t="s">
        <v>487</v>
      </c>
      <c r="AT6" s="957" t="s">
        <v>488</v>
      </c>
    </row>
    <row r="7" spans="1:47" ht="15.75" thickBot="1" x14ac:dyDescent="0.3">
      <c r="A7" s="474" t="s">
        <v>7</v>
      </c>
      <c r="B7" s="475" t="s">
        <v>7</v>
      </c>
      <c r="C7" s="909"/>
      <c r="D7" s="910" t="s">
        <v>30</v>
      </c>
      <c r="E7" s="950" t="s">
        <v>211</v>
      </c>
      <c r="F7" s="951" t="s">
        <v>211</v>
      </c>
      <c r="G7" s="952" t="s">
        <v>211</v>
      </c>
      <c r="H7" s="912" t="s">
        <v>211</v>
      </c>
      <c r="I7" s="912" t="s">
        <v>211</v>
      </c>
      <c r="J7" s="911" t="s">
        <v>211</v>
      </c>
      <c r="K7" s="911" t="s">
        <v>211</v>
      </c>
      <c r="L7" s="911" t="s">
        <v>211</v>
      </c>
      <c r="M7" s="912" t="s">
        <v>211</v>
      </c>
      <c r="N7" s="912" t="s">
        <v>211</v>
      </c>
      <c r="O7" s="912" t="s">
        <v>211</v>
      </c>
      <c r="P7" s="912" t="s">
        <v>211</v>
      </c>
      <c r="Q7" s="911" t="s">
        <v>211</v>
      </c>
      <c r="R7" s="911" t="s">
        <v>211</v>
      </c>
      <c r="S7" s="911" t="s">
        <v>428</v>
      </c>
      <c r="T7" s="911" t="s">
        <v>211</v>
      </c>
      <c r="U7" s="913" t="s">
        <v>211</v>
      </c>
      <c r="V7" s="914" t="s">
        <v>211</v>
      </c>
      <c r="W7" s="914" t="s">
        <v>211</v>
      </c>
      <c r="X7" s="914" t="s">
        <v>211</v>
      </c>
      <c r="Y7" s="914" t="s">
        <v>211</v>
      </c>
      <c r="Z7" s="914"/>
      <c r="AA7" s="914" t="s">
        <v>211</v>
      </c>
      <c r="AB7" s="914" t="s">
        <v>211</v>
      </c>
      <c r="AC7" s="914" t="s">
        <v>211</v>
      </c>
      <c r="AD7" s="914" t="s">
        <v>211</v>
      </c>
      <c r="AE7" s="914" t="s">
        <v>211</v>
      </c>
      <c r="AF7" s="914" t="s">
        <v>211</v>
      </c>
      <c r="AG7" s="914" t="s">
        <v>211</v>
      </c>
      <c r="AH7" s="912"/>
      <c r="AI7" s="912" t="s">
        <v>211</v>
      </c>
      <c r="AJ7" s="912" t="s">
        <v>211</v>
      </c>
      <c r="AK7" s="912" t="s">
        <v>211</v>
      </c>
      <c r="AL7" s="912" t="s">
        <v>211</v>
      </c>
      <c r="AM7" s="912" t="s">
        <v>211</v>
      </c>
      <c r="AN7" s="912" t="s">
        <v>211</v>
      </c>
      <c r="AO7" s="912" t="s">
        <v>211</v>
      </c>
      <c r="AP7" s="913" t="s">
        <v>211</v>
      </c>
      <c r="AQ7" s="913" t="s">
        <v>211</v>
      </c>
      <c r="AR7" s="913" t="s">
        <v>211</v>
      </c>
      <c r="AS7" s="913" t="s">
        <v>211</v>
      </c>
      <c r="AT7" s="913" t="s">
        <v>211</v>
      </c>
      <c r="AU7" s="734"/>
    </row>
    <row r="8" spans="1:47" ht="15" x14ac:dyDescent="0.25">
      <c r="A8" s="625"/>
      <c r="B8" s="546"/>
      <c r="C8" s="626" t="s">
        <v>178</v>
      </c>
      <c r="D8" s="639">
        <f t="shared" ref="D8:D13" si="0">SUM(E8:AT8)</f>
        <v>171627</v>
      </c>
      <c r="E8" s="953"/>
      <c r="F8" s="778"/>
      <c r="G8" s="741"/>
      <c r="H8" s="738"/>
      <c r="I8" s="738"/>
      <c r="J8" s="737"/>
      <c r="K8" s="737"/>
      <c r="L8" s="736"/>
      <c r="M8" s="741">
        <v>165587</v>
      </c>
      <c r="N8" s="738"/>
      <c r="O8" s="738">
        <v>3177</v>
      </c>
      <c r="P8" s="738">
        <v>2863</v>
      </c>
      <c r="Q8" s="738"/>
      <c r="R8" s="738"/>
      <c r="S8" s="738"/>
      <c r="T8" s="741"/>
      <c r="U8" s="739"/>
      <c r="V8" s="740"/>
      <c r="W8" s="740"/>
      <c r="X8" s="740"/>
      <c r="Y8" s="740"/>
      <c r="Z8" s="740"/>
      <c r="AA8" s="740"/>
      <c r="AB8" s="740"/>
      <c r="AC8" s="740"/>
      <c r="AD8" s="740"/>
      <c r="AE8" s="740"/>
      <c r="AF8" s="740"/>
      <c r="AG8" s="740"/>
      <c r="AH8" s="741"/>
      <c r="AI8" s="741"/>
      <c r="AJ8" s="741"/>
      <c r="AK8" s="741"/>
      <c r="AL8" s="738"/>
      <c r="AM8" s="738"/>
      <c r="AN8" s="738"/>
      <c r="AO8" s="738"/>
      <c r="AP8" s="817"/>
      <c r="AQ8" s="817"/>
      <c r="AR8" s="817"/>
      <c r="AS8" s="817"/>
      <c r="AT8" s="915"/>
    </row>
    <row r="9" spans="1:47" ht="15" x14ac:dyDescent="0.25">
      <c r="A9" s="627"/>
      <c r="B9" s="476"/>
      <c r="C9" s="304" t="s">
        <v>241</v>
      </c>
      <c r="D9" s="742">
        <f t="shared" si="0"/>
        <v>4423011</v>
      </c>
      <c r="E9" s="750">
        <v>80000</v>
      </c>
      <c r="F9" s="781">
        <v>5000</v>
      </c>
      <c r="G9" s="781">
        <v>200000</v>
      </c>
      <c r="H9" s="746">
        <v>19360</v>
      </c>
      <c r="I9" s="745">
        <v>96599</v>
      </c>
      <c r="J9" s="745">
        <v>6000</v>
      </c>
      <c r="K9" s="745">
        <v>84800</v>
      </c>
      <c r="L9" s="744">
        <v>154353</v>
      </c>
      <c r="M9" s="781">
        <v>50255</v>
      </c>
      <c r="N9" s="746">
        <v>197917</v>
      </c>
      <c r="O9" s="746">
        <f>18368-3177</f>
        <v>15191</v>
      </c>
      <c r="P9" s="746">
        <f>228007+140135</f>
        <v>368142</v>
      </c>
      <c r="Q9" s="931">
        <v>119760</v>
      </c>
      <c r="R9" s="931">
        <v>60000</v>
      </c>
      <c r="S9" s="931">
        <v>151204</v>
      </c>
      <c r="T9" s="781">
        <v>30000</v>
      </c>
      <c r="U9" s="749">
        <v>30000</v>
      </c>
      <c r="V9" s="749">
        <v>28512</v>
      </c>
      <c r="W9" s="749">
        <v>31460</v>
      </c>
      <c r="X9" s="749"/>
      <c r="Y9" s="749">
        <v>13000</v>
      </c>
      <c r="Z9" s="749">
        <v>455470</v>
      </c>
      <c r="AA9" s="749">
        <v>42043</v>
      </c>
      <c r="AB9" s="749">
        <v>61416</v>
      </c>
      <c r="AC9" s="749">
        <v>86300</v>
      </c>
      <c r="AD9" s="749">
        <v>21659</v>
      </c>
      <c r="AE9" s="749">
        <v>43282</v>
      </c>
      <c r="AF9" s="749">
        <v>36300</v>
      </c>
      <c r="AG9" s="749">
        <v>114200</v>
      </c>
      <c r="AH9" s="750">
        <v>20595</v>
      </c>
      <c r="AI9" s="750">
        <f>17527</f>
        <v>17527</v>
      </c>
      <c r="AJ9" s="750">
        <v>16170</v>
      </c>
      <c r="AK9" s="750">
        <f>35480+698371</f>
        <v>733851</v>
      </c>
      <c r="AL9" s="746">
        <v>25000</v>
      </c>
      <c r="AM9" s="746">
        <v>12500</v>
      </c>
      <c r="AN9" s="746">
        <v>52939</v>
      </c>
      <c r="AO9" s="746">
        <v>60000</v>
      </c>
      <c r="AP9" s="818"/>
      <c r="AQ9" s="659">
        <v>714572</v>
      </c>
      <c r="AR9" s="659">
        <v>47358</v>
      </c>
      <c r="AS9" s="659">
        <v>70276</v>
      </c>
      <c r="AT9" s="916">
        <v>50000</v>
      </c>
    </row>
    <row r="10" spans="1:47" ht="15" x14ac:dyDescent="0.25">
      <c r="A10" s="627"/>
      <c r="B10" s="476"/>
      <c r="C10" s="304" t="s">
        <v>429</v>
      </c>
      <c r="D10" s="742">
        <f t="shared" si="0"/>
        <v>2760633</v>
      </c>
      <c r="E10" s="743"/>
      <c r="F10" s="743"/>
      <c r="G10" s="743"/>
      <c r="H10" s="745"/>
      <c r="I10" s="746">
        <v>156135</v>
      </c>
      <c r="J10" s="745"/>
      <c r="K10" s="745"/>
      <c r="L10" s="743"/>
      <c r="M10" s="781">
        <v>119189</v>
      </c>
      <c r="N10" s="746"/>
      <c r="O10" s="931">
        <v>15958</v>
      </c>
      <c r="P10" s="931">
        <v>200260</v>
      </c>
      <c r="Q10" s="748"/>
      <c r="R10" s="748"/>
      <c r="S10" s="751">
        <v>382500</v>
      </c>
      <c r="T10" s="752"/>
      <c r="U10" s="753"/>
      <c r="V10" s="754"/>
      <c r="W10" s="754"/>
      <c r="X10" s="749">
        <v>200000</v>
      </c>
      <c r="Y10" s="754"/>
      <c r="Z10" s="754"/>
      <c r="AA10" s="754"/>
      <c r="AB10" s="920"/>
      <c r="AC10" s="919"/>
      <c r="AD10" s="754"/>
      <c r="AE10" s="754"/>
      <c r="AF10" s="754"/>
      <c r="AG10" s="754"/>
      <c r="AH10" s="750"/>
      <c r="AI10" s="750"/>
      <c r="AJ10" s="750"/>
      <c r="AK10" s="750"/>
      <c r="AL10" s="746"/>
      <c r="AM10" s="746"/>
      <c r="AN10" s="746"/>
      <c r="AO10" s="746"/>
      <c r="AP10" s="659">
        <v>20000</v>
      </c>
      <c r="AQ10" s="819">
        <v>1000000</v>
      </c>
      <c r="AR10" s="819">
        <v>268359</v>
      </c>
      <c r="AS10" s="819">
        <v>398232</v>
      </c>
      <c r="AT10" s="916"/>
    </row>
    <row r="11" spans="1:47" ht="15" x14ac:dyDescent="0.25">
      <c r="A11" s="627"/>
      <c r="B11" s="476"/>
      <c r="C11" s="304" t="s">
        <v>242</v>
      </c>
      <c r="D11" s="742">
        <f t="shared" si="0"/>
        <v>420807</v>
      </c>
      <c r="E11" s="743"/>
      <c r="F11" s="743"/>
      <c r="G11" s="743"/>
      <c r="H11" s="745"/>
      <c r="I11" s="746"/>
      <c r="J11" s="745"/>
      <c r="K11" s="745"/>
      <c r="L11" s="743"/>
      <c r="M11" s="781"/>
      <c r="N11" s="746"/>
      <c r="O11" s="746"/>
      <c r="P11" s="746"/>
      <c r="Q11" s="745"/>
      <c r="R11" s="745"/>
      <c r="S11" s="743"/>
      <c r="T11" s="743"/>
      <c r="U11" s="753"/>
      <c r="V11" s="754"/>
      <c r="W11" s="754"/>
      <c r="X11" s="754"/>
      <c r="Y11" s="754"/>
      <c r="Z11" s="754"/>
      <c r="AA11" s="754"/>
      <c r="AB11" s="919"/>
      <c r="AC11" s="919">
        <v>420807</v>
      </c>
      <c r="AD11" s="754"/>
      <c r="AE11" s="754"/>
      <c r="AF11" s="754"/>
      <c r="AG11" s="754"/>
      <c r="AH11" s="750"/>
      <c r="AI11" s="750"/>
      <c r="AJ11" s="750"/>
      <c r="AK11" s="750"/>
      <c r="AL11" s="746"/>
      <c r="AM11" s="746"/>
      <c r="AN11" s="746"/>
      <c r="AO11" s="746"/>
      <c r="AP11" s="819"/>
      <c r="AQ11" s="819"/>
      <c r="AR11" s="819"/>
      <c r="AS11" s="819"/>
      <c r="AT11" s="753"/>
    </row>
    <row r="12" spans="1:47" ht="15" x14ac:dyDescent="0.25">
      <c r="A12" s="627"/>
      <c r="B12" s="476"/>
      <c r="C12" s="638" t="s">
        <v>243</v>
      </c>
      <c r="D12" s="742">
        <f t="shared" si="0"/>
        <v>769199</v>
      </c>
      <c r="E12" s="743"/>
      <c r="F12" s="743"/>
      <c r="G12" s="743"/>
      <c r="H12" s="745"/>
      <c r="I12" s="746"/>
      <c r="J12" s="745"/>
      <c r="K12" s="745"/>
      <c r="L12" s="743"/>
      <c r="M12" s="744"/>
      <c r="N12" s="747"/>
      <c r="O12" s="745"/>
      <c r="P12" s="745"/>
      <c r="Q12" s="745"/>
      <c r="R12" s="745"/>
      <c r="S12" s="745"/>
      <c r="T12" s="744"/>
      <c r="U12" s="755"/>
      <c r="V12" s="749">
        <v>161568</v>
      </c>
      <c r="W12" s="749"/>
      <c r="X12" s="749"/>
      <c r="Y12" s="749"/>
      <c r="Z12" s="749"/>
      <c r="AA12" s="749"/>
      <c r="AB12" s="749"/>
      <c r="AC12" s="749"/>
      <c r="AD12" s="749"/>
      <c r="AE12" s="749"/>
      <c r="AF12" s="749"/>
      <c r="AG12" s="749"/>
      <c r="AH12" s="750">
        <v>116703</v>
      </c>
      <c r="AI12" s="750">
        <v>99318</v>
      </c>
      <c r="AJ12" s="750">
        <v>91625</v>
      </c>
      <c r="AK12" s="750"/>
      <c r="AL12" s="746"/>
      <c r="AM12" s="746"/>
      <c r="AN12" s="746">
        <v>299985</v>
      </c>
      <c r="AO12" s="746"/>
      <c r="AP12" s="659"/>
      <c r="AQ12" s="659"/>
      <c r="AR12" s="659"/>
      <c r="AS12" s="659"/>
      <c r="AT12" s="916"/>
    </row>
    <row r="13" spans="1:47" ht="15.75" thickBot="1" x14ac:dyDescent="0.3">
      <c r="A13" s="628"/>
      <c r="B13" s="480"/>
      <c r="C13" s="638" t="s">
        <v>9</v>
      </c>
      <c r="D13" s="742">
        <f t="shared" si="0"/>
        <v>0</v>
      </c>
      <c r="E13" s="756"/>
      <c r="F13" s="756"/>
      <c r="G13" s="756"/>
      <c r="H13" s="757"/>
      <c r="I13" s="758"/>
      <c r="J13" s="757"/>
      <c r="K13" s="757"/>
      <c r="L13" s="756"/>
      <c r="M13" s="759"/>
      <c r="N13" s="760"/>
      <c r="O13" s="757"/>
      <c r="P13" s="757"/>
      <c r="Q13" s="757"/>
      <c r="R13" s="757"/>
      <c r="S13" s="757"/>
      <c r="T13" s="759"/>
      <c r="U13" s="761"/>
      <c r="V13" s="762"/>
      <c r="W13" s="762"/>
      <c r="X13" s="762"/>
      <c r="Y13" s="762"/>
      <c r="Z13" s="762"/>
      <c r="AA13" s="762"/>
      <c r="AB13" s="762"/>
      <c r="AC13" s="762"/>
      <c r="AD13" s="762"/>
      <c r="AE13" s="762"/>
      <c r="AF13" s="762"/>
      <c r="AG13" s="762"/>
      <c r="AH13" s="763"/>
      <c r="AI13" s="763"/>
      <c r="AJ13" s="763"/>
      <c r="AK13" s="763"/>
      <c r="AL13" s="758"/>
      <c r="AM13" s="758"/>
      <c r="AN13" s="758"/>
      <c r="AO13" s="758"/>
      <c r="AP13" s="820"/>
      <c r="AQ13" s="820"/>
      <c r="AR13" s="820"/>
      <c r="AS13" s="820"/>
      <c r="AT13" s="917"/>
    </row>
    <row r="14" spans="1:47" ht="15.75" thickBot="1" x14ac:dyDescent="0.3">
      <c r="A14" s="299"/>
      <c r="B14" s="633"/>
      <c r="C14" s="300" t="s">
        <v>36</v>
      </c>
      <c r="D14" s="764">
        <f>SUM(D9:D13)</f>
        <v>8373650</v>
      </c>
      <c r="E14" s="765">
        <f>SUM(E9:E13)</f>
        <v>80000</v>
      </c>
      <c r="F14" s="765">
        <f t="shared" ref="F14:AG14" si="1">SUM(F9:F13)</f>
        <v>5000</v>
      </c>
      <c r="G14" s="765">
        <f t="shared" si="1"/>
        <v>200000</v>
      </c>
      <c r="H14" s="765">
        <f t="shared" si="1"/>
        <v>19360</v>
      </c>
      <c r="I14" s="766">
        <f>SUM(I9:I13)</f>
        <v>252734</v>
      </c>
      <c r="J14" s="765">
        <f t="shared" si="1"/>
        <v>6000</v>
      </c>
      <c r="K14" s="765">
        <f t="shared" si="1"/>
        <v>84800</v>
      </c>
      <c r="L14" s="765">
        <f t="shared" si="1"/>
        <v>154353</v>
      </c>
      <c r="M14" s="765">
        <f t="shared" si="1"/>
        <v>169444</v>
      </c>
      <c r="N14" s="765">
        <f>SUM(N9:N13)</f>
        <v>197917</v>
      </c>
      <c r="O14" s="765">
        <f>SUM(O9:O13)</f>
        <v>31149</v>
      </c>
      <c r="P14" s="765">
        <f t="shared" ref="P14:S14" si="2">SUM(P9:P13)</f>
        <v>568402</v>
      </c>
      <c r="Q14" s="765">
        <f t="shared" ref="Q14" si="3">SUM(Q9:Q13)</f>
        <v>119760</v>
      </c>
      <c r="R14" s="765">
        <f t="shared" si="2"/>
        <v>60000</v>
      </c>
      <c r="S14" s="765">
        <f t="shared" si="2"/>
        <v>533704</v>
      </c>
      <c r="T14" s="765">
        <f t="shared" si="1"/>
        <v>30000</v>
      </c>
      <c r="U14" s="767">
        <f t="shared" si="1"/>
        <v>30000</v>
      </c>
      <c r="V14" s="768">
        <f t="shared" si="1"/>
        <v>190080</v>
      </c>
      <c r="W14" s="768">
        <f t="shared" si="1"/>
        <v>31460</v>
      </c>
      <c r="X14" s="768">
        <f t="shared" si="1"/>
        <v>200000</v>
      </c>
      <c r="Y14" s="768">
        <f t="shared" si="1"/>
        <v>13000</v>
      </c>
      <c r="Z14" s="768">
        <f t="shared" ref="Z14" si="4">SUM(Z9:Z13)</f>
        <v>455470</v>
      </c>
      <c r="AA14" s="768">
        <f t="shared" si="1"/>
        <v>42043</v>
      </c>
      <c r="AB14" s="768">
        <f t="shared" si="1"/>
        <v>61416</v>
      </c>
      <c r="AC14" s="768">
        <f t="shared" si="1"/>
        <v>507107</v>
      </c>
      <c r="AD14" s="768">
        <f t="shared" si="1"/>
        <v>21659</v>
      </c>
      <c r="AE14" s="768">
        <f t="shared" si="1"/>
        <v>43282</v>
      </c>
      <c r="AF14" s="768">
        <f t="shared" si="1"/>
        <v>36300</v>
      </c>
      <c r="AG14" s="768">
        <f t="shared" si="1"/>
        <v>114200</v>
      </c>
      <c r="AH14" s="768">
        <f t="shared" ref="AH14:AJ14" si="5">SUM(AH9:AH13)</f>
        <v>137298</v>
      </c>
      <c r="AI14" s="768">
        <f t="shared" si="5"/>
        <v>116845</v>
      </c>
      <c r="AJ14" s="768">
        <f t="shared" si="5"/>
        <v>107795</v>
      </c>
      <c r="AK14" s="768">
        <f t="shared" ref="AK14" si="6">SUM(AK9:AK13)</f>
        <v>733851</v>
      </c>
      <c r="AL14" s="766">
        <f t="shared" ref="AL14:AT14" si="7">SUM(AL9:AL13)</f>
        <v>25000</v>
      </c>
      <c r="AM14" s="766">
        <f t="shared" si="7"/>
        <v>12500</v>
      </c>
      <c r="AN14" s="766">
        <f t="shared" si="7"/>
        <v>352924</v>
      </c>
      <c r="AO14" s="766">
        <f t="shared" si="7"/>
        <v>60000</v>
      </c>
      <c r="AP14" s="821">
        <f t="shared" si="7"/>
        <v>20000</v>
      </c>
      <c r="AQ14" s="821">
        <f t="shared" si="7"/>
        <v>1714572</v>
      </c>
      <c r="AR14" s="821">
        <f t="shared" si="7"/>
        <v>315717</v>
      </c>
      <c r="AS14" s="821">
        <f t="shared" si="7"/>
        <v>468508</v>
      </c>
      <c r="AT14" s="767">
        <f t="shared" si="7"/>
        <v>50000</v>
      </c>
    </row>
    <row r="15" spans="1:47" ht="15.75" thickBot="1" x14ac:dyDescent="0.3">
      <c r="A15" s="301"/>
      <c r="B15" s="634"/>
      <c r="C15" s="303" t="s">
        <v>180</v>
      </c>
      <c r="D15" s="769">
        <f>SUM(D8+D14)</f>
        <v>8545277</v>
      </c>
      <c r="E15" s="770">
        <f t="shared" ref="E15:AN15" si="8">SUM(E8+E14)</f>
        <v>80000</v>
      </c>
      <c r="F15" s="770">
        <f t="shared" si="8"/>
        <v>5000</v>
      </c>
      <c r="G15" s="770">
        <f t="shared" si="8"/>
        <v>200000</v>
      </c>
      <c r="H15" s="770">
        <f t="shared" si="8"/>
        <v>19360</v>
      </c>
      <c r="I15" s="771">
        <f>SUM(I8+I14)</f>
        <v>252734</v>
      </c>
      <c r="J15" s="770">
        <f t="shared" si="8"/>
        <v>6000</v>
      </c>
      <c r="K15" s="770">
        <f t="shared" si="8"/>
        <v>84800</v>
      </c>
      <c r="L15" s="770">
        <f t="shared" si="8"/>
        <v>154353</v>
      </c>
      <c r="M15" s="770">
        <f t="shared" si="8"/>
        <v>335031</v>
      </c>
      <c r="N15" s="770">
        <f t="shared" ref="N15:S15" si="9">SUM(N8+N14)</f>
        <v>197917</v>
      </c>
      <c r="O15" s="770">
        <f t="shared" si="9"/>
        <v>34326</v>
      </c>
      <c r="P15" s="770">
        <f t="shared" si="9"/>
        <v>571265</v>
      </c>
      <c r="Q15" s="770">
        <f t="shared" si="9"/>
        <v>119760</v>
      </c>
      <c r="R15" s="770">
        <f t="shared" si="9"/>
        <v>60000</v>
      </c>
      <c r="S15" s="770">
        <f t="shared" si="9"/>
        <v>533704</v>
      </c>
      <c r="T15" s="770">
        <f t="shared" si="8"/>
        <v>30000</v>
      </c>
      <c r="U15" s="770">
        <f>SUM(U8+U14)</f>
        <v>30000</v>
      </c>
      <c r="V15" s="771">
        <f>SUM(V8+V14)</f>
        <v>190080</v>
      </c>
      <c r="W15" s="771">
        <f t="shared" si="8"/>
        <v>31460</v>
      </c>
      <c r="X15" s="771">
        <f t="shared" si="8"/>
        <v>200000</v>
      </c>
      <c r="Y15" s="771">
        <f t="shared" si="8"/>
        <v>13000</v>
      </c>
      <c r="Z15" s="771">
        <f>SUM(Z8+Z14)</f>
        <v>455470</v>
      </c>
      <c r="AA15" s="771">
        <f t="shared" si="8"/>
        <v>42043</v>
      </c>
      <c r="AB15" s="771">
        <f t="shared" si="8"/>
        <v>61416</v>
      </c>
      <c r="AC15" s="771">
        <f t="shared" si="8"/>
        <v>507107</v>
      </c>
      <c r="AD15" s="771">
        <f t="shared" si="8"/>
        <v>21659</v>
      </c>
      <c r="AE15" s="771">
        <f t="shared" si="8"/>
        <v>43282</v>
      </c>
      <c r="AF15" s="771">
        <f t="shared" si="8"/>
        <v>36300</v>
      </c>
      <c r="AG15" s="771">
        <f t="shared" si="8"/>
        <v>114200</v>
      </c>
      <c r="AH15" s="771">
        <f t="shared" si="8"/>
        <v>137298</v>
      </c>
      <c r="AI15" s="771">
        <f t="shared" si="8"/>
        <v>116845</v>
      </c>
      <c r="AJ15" s="771">
        <f t="shared" si="8"/>
        <v>107795</v>
      </c>
      <c r="AK15" s="771">
        <f t="shared" ref="AK15" si="10">SUM(AK8+AK14)</f>
        <v>733851</v>
      </c>
      <c r="AL15" s="771">
        <f t="shared" si="8"/>
        <v>25000</v>
      </c>
      <c r="AM15" s="771">
        <f t="shared" si="8"/>
        <v>12500</v>
      </c>
      <c r="AN15" s="771">
        <f t="shared" si="8"/>
        <v>352924</v>
      </c>
      <c r="AO15" s="771">
        <f t="shared" ref="AO15:AT15" si="11">SUM(AO8+AO14)</f>
        <v>60000</v>
      </c>
      <c r="AP15" s="958">
        <f t="shared" si="11"/>
        <v>20000</v>
      </c>
      <c r="AQ15" s="958">
        <f t="shared" si="11"/>
        <v>1714572</v>
      </c>
      <c r="AR15" s="958">
        <f t="shared" si="11"/>
        <v>315717</v>
      </c>
      <c r="AS15" s="958">
        <f t="shared" si="11"/>
        <v>468508</v>
      </c>
      <c r="AT15" s="770">
        <f t="shared" si="11"/>
        <v>50000</v>
      </c>
    </row>
    <row r="16" spans="1:47" s="891" customFormat="1" ht="26.25" customHeight="1" thickBot="1" x14ac:dyDescent="0.25">
      <c r="A16" s="882"/>
      <c r="B16" s="882"/>
      <c r="C16" s="882"/>
      <c r="D16" s="883"/>
      <c r="E16" s="884"/>
      <c r="F16" s="883"/>
      <c r="G16" s="883"/>
      <c r="H16" s="883"/>
      <c r="I16" s="886" t="s">
        <v>246</v>
      </c>
      <c r="J16" s="885" t="s">
        <v>557</v>
      </c>
      <c r="K16" s="885"/>
      <c r="L16" s="883"/>
      <c r="M16" s="883"/>
      <c r="N16" s="885"/>
      <c r="O16" s="885"/>
      <c r="P16" s="887"/>
      <c r="Q16" s="887"/>
      <c r="R16" s="887"/>
      <c r="S16" s="888"/>
      <c r="T16" s="883"/>
      <c r="U16" s="883"/>
      <c r="V16" s="883"/>
      <c r="W16" s="889"/>
      <c r="X16" s="889"/>
      <c r="Y16" s="883"/>
      <c r="Z16" s="883"/>
      <c r="AA16" s="883"/>
      <c r="AB16" s="883"/>
      <c r="AC16" s="889"/>
      <c r="AD16" s="889"/>
      <c r="AE16" s="889"/>
      <c r="AF16" s="889"/>
      <c r="AG16" s="889"/>
      <c r="AH16" s="889"/>
      <c r="AI16" s="889"/>
      <c r="AJ16" s="889"/>
      <c r="AK16" s="889"/>
      <c r="AL16" s="886"/>
      <c r="AM16" s="886"/>
      <c r="AN16" s="886"/>
      <c r="AO16" s="886"/>
      <c r="AP16" s="890"/>
      <c r="AQ16" s="890"/>
      <c r="AR16" s="890"/>
      <c r="AS16" s="890"/>
      <c r="AT16" s="885"/>
    </row>
    <row r="17" spans="1:46" ht="19.5" thickBot="1" x14ac:dyDescent="0.35">
      <c r="A17" s="474" t="s">
        <v>7</v>
      </c>
      <c r="B17" s="475" t="s">
        <v>7</v>
      </c>
      <c r="C17" s="629" t="s">
        <v>10</v>
      </c>
      <c r="D17" s="772" t="s">
        <v>32</v>
      </c>
      <c r="E17" s="773" t="s">
        <v>211</v>
      </c>
      <c r="F17" s="773" t="s">
        <v>211</v>
      </c>
      <c r="G17" s="773" t="s">
        <v>211</v>
      </c>
      <c r="H17" s="773" t="s">
        <v>211</v>
      </c>
      <c r="I17" s="774" t="s">
        <v>211</v>
      </c>
      <c r="J17" s="773" t="s">
        <v>211</v>
      </c>
      <c r="K17" s="773" t="s">
        <v>211</v>
      </c>
      <c r="L17" s="773" t="s">
        <v>211</v>
      </c>
      <c r="M17" s="773" t="s">
        <v>211</v>
      </c>
      <c r="N17" s="773" t="s">
        <v>211</v>
      </c>
      <c r="O17" s="773" t="s">
        <v>211</v>
      </c>
      <c r="P17" s="775" t="s">
        <v>211</v>
      </c>
      <c r="Q17" s="775" t="s">
        <v>211</v>
      </c>
      <c r="R17" s="775" t="s">
        <v>211</v>
      </c>
      <c r="S17" s="775" t="s">
        <v>211</v>
      </c>
      <c r="T17" s="773" t="s">
        <v>211</v>
      </c>
      <c r="U17" s="773" t="s">
        <v>211</v>
      </c>
      <c r="V17" s="773" t="s">
        <v>211</v>
      </c>
      <c r="W17" s="773" t="s">
        <v>211</v>
      </c>
      <c r="X17" s="774" t="s">
        <v>211</v>
      </c>
      <c r="Y17" s="773" t="s">
        <v>211</v>
      </c>
      <c r="Z17" s="773" t="s">
        <v>211</v>
      </c>
      <c r="AA17" s="773" t="s">
        <v>211</v>
      </c>
      <c r="AB17" s="773" t="s">
        <v>211</v>
      </c>
      <c r="AC17" s="774" t="s">
        <v>211</v>
      </c>
      <c r="AD17" s="774" t="s">
        <v>211</v>
      </c>
      <c r="AE17" s="774" t="s">
        <v>211</v>
      </c>
      <c r="AF17" s="774" t="s">
        <v>211</v>
      </c>
      <c r="AG17" s="774" t="s">
        <v>211</v>
      </c>
      <c r="AH17" s="774" t="s">
        <v>211</v>
      </c>
      <c r="AI17" s="774" t="s">
        <v>211</v>
      </c>
      <c r="AJ17" s="774" t="s">
        <v>211</v>
      </c>
      <c r="AK17" s="774" t="s">
        <v>211</v>
      </c>
      <c r="AL17" s="774" t="s">
        <v>211</v>
      </c>
      <c r="AM17" s="774" t="s">
        <v>211</v>
      </c>
      <c r="AN17" s="774" t="s">
        <v>211</v>
      </c>
      <c r="AO17" s="774" t="s">
        <v>211</v>
      </c>
      <c r="AP17" s="822" t="s">
        <v>211</v>
      </c>
      <c r="AQ17" s="822" t="s">
        <v>211</v>
      </c>
      <c r="AR17" s="822" t="s">
        <v>211</v>
      </c>
      <c r="AS17" s="822" t="s">
        <v>211</v>
      </c>
      <c r="AT17" s="773" t="s">
        <v>211</v>
      </c>
    </row>
    <row r="18" spans="1:46" ht="15" x14ac:dyDescent="0.25">
      <c r="A18" s="635">
        <v>1100</v>
      </c>
      <c r="B18" s="546"/>
      <c r="C18" s="636" t="s">
        <v>11</v>
      </c>
      <c r="D18" s="776">
        <f>SUM(E18:AT18)</f>
        <v>1769</v>
      </c>
      <c r="E18" s="777"/>
      <c r="F18" s="777"/>
      <c r="G18" s="777"/>
      <c r="H18" s="777"/>
      <c r="I18" s="778"/>
      <c r="J18" s="777"/>
      <c r="K18" s="777"/>
      <c r="L18" s="777"/>
      <c r="M18" s="777"/>
      <c r="N18" s="777"/>
      <c r="O18" s="778">
        <v>1769</v>
      </c>
      <c r="P18" s="735"/>
      <c r="Q18" s="735"/>
      <c r="R18" s="735"/>
      <c r="S18" s="735"/>
      <c r="T18" s="777"/>
      <c r="U18" s="777"/>
      <c r="V18" s="777"/>
      <c r="W18" s="777"/>
      <c r="X18" s="778"/>
      <c r="Y18" s="777"/>
      <c r="Z18" s="777"/>
      <c r="AA18" s="777"/>
      <c r="AB18" s="777"/>
      <c r="AC18" s="778"/>
      <c r="AD18" s="778"/>
      <c r="AE18" s="778"/>
      <c r="AF18" s="778"/>
      <c r="AG18" s="778"/>
      <c r="AH18" s="778"/>
      <c r="AI18" s="778"/>
      <c r="AJ18" s="778"/>
      <c r="AK18" s="778"/>
      <c r="AL18" s="778"/>
      <c r="AM18" s="778"/>
      <c r="AN18" s="778"/>
      <c r="AO18" s="778"/>
      <c r="AP18" s="823"/>
      <c r="AQ18" s="823"/>
      <c r="AR18" s="823"/>
      <c r="AS18" s="823"/>
      <c r="AT18" s="777"/>
    </row>
    <row r="19" spans="1:46" ht="45" x14ac:dyDescent="0.25">
      <c r="A19" s="548">
        <v>1200</v>
      </c>
      <c r="B19" s="476"/>
      <c r="C19" s="779" t="s">
        <v>12</v>
      </c>
      <c r="D19" s="742">
        <f>SUM(E19:AT19)</f>
        <v>558</v>
      </c>
      <c r="E19" s="780"/>
      <c r="F19" s="780"/>
      <c r="G19" s="780"/>
      <c r="H19" s="780"/>
      <c r="I19" s="781"/>
      <c r="J19" s="780"/>
      <c r="K19" s="780"/>
      <c r="L19" s="780"/>
      <c r="M19" s="780"/>
      <c r="N19" s="780"/>
      <c r="O19" s="781">
        <v>558</v>
      </c>
      <c r="P19" s="744"/>
      <c r="Q19" s="744"/>
      <c r="R19" s="744"/>
      <c r="S19" s="744"/>
      <c r="T19" s="780"/>
      <c r="U19" s="780"/>
      <c r="V19" s="780"/>
      <c r="W19" s="780"/>
      <c r="X19" s="781"/>
      <c r="Y19" s="780"/>
      <c r="Z19" s="780"/>
      <c r="AA19" s="780"/>
      <c r="AB19" s="780"/>
      <c r="AC19" s="781"/>
      <c r="AD19" s="781"/>
      <c r="AE19" s="781"/>
      <c r="AF19" s="781"/>
      <c r="AG19" s="781"/>
      <c r="AH19" s="781"/>
      <c r="AI19" s="781"/>
      <c r="AJ19" s="781"/>
      <c r="AK19" s="781"/>
      <c r="AL19" s="781"/>
      <c r="AM19" s="781"/>
      <c r="AN19" s="781"/>
      <c r="AO19" s="781"/>
      <c r="AP19" s="824">
        <v>0</v>
      </c>
      <c r="AQ19" s="824">
        <v>0</v>
      </c>
      <c r="AR19" s="824">
        <v>0</v>
      </c>
      <c r="AS19" s="824">
        <v>0</v>
      </c>
      <c r="AT19" s="780"/>
    </row>
    <row r="20" spans="1:46" s="788" customFormat="1" ht="15" x14ac:dyDescent="0.25">
      <c r="A20" s="782">
        <v>2000</v>
      </c>
      <c r="B20" s="783"/>
      <c r="C20" s="784" t="s">
        <v>13</v>
      </c>
      <c r="D20" s="742">
        <f t="shared" ref="D20:AN20" si="12">SUM(D21+D22+D23+D24+D25)</f>
        <v>326372</v>
      </c>
      <c r="E20" s="785">
        <f t="shared" si="12"/>
        <v>15000</v>
      </c>
      <c r="F20" s="785">
        <f t="shared" si="12"/>
        <v>5000</v>
      </c>
      <c r="G20" s="785">
        <f t="shared" si="12"/>
        <v>200000</v>
      </c>
      <c r="H20" s="785">
        <f t="shared" si="12"/>
        <v>19360</v>
      </c>
      <c r="I20" s="786">
        <f>SUM(I21+I22+I23+I24+I25)</f>
        <v>0</v>
      </c>
      <c r="J20" s="785">
        <f t="shared" si="12"/>
        <v>0</v>
      </c>
      <c r="K20" s="785">
        <f t="shared" si="12"/>
        <v>57600</v>
      </c>
      <c r="L20" s="785">
        <f t="shared" si="12"/>
        <v>0</v>
      </c>
      <c r="M20" s="785">
        <f t="shared" si="12"/>
        <v>0</v>
      </c>
      <c r="N20" s="785">
        <f t="shared" ref="N20:S20" si="13">SUM(N21+N22+N23+N24+N25)</f>
        <v>0</v>
      </c>
      <c r="O20" s="785">
        <f t="shared" si="13"/>
        <v>29412</v>
      </c>
      <c r="P20" s="787">
        <f t="shared" si="13"/>
        <v>0</v>
      </c>
      <c r="Q20" s="787">
        <f t="shared" si="13"/>
        <v>0</v>
      </c>
      <c r="R20" s="787">
        <f t="shared" si="13"/>
        <v>0</v>
      </c>
      <c r="S20" s="787">
        <f t="shared" si="13"/>
        <v>0</v>
      </c>
      <c r="T20" s="785">
        <f t="shared" si="12"/>
        <v>0</v>
      </c>
      <c r="U20" s="785">
        <f t="shared" si="12"/>
        <v>0</v>
      </c>
      <c r="V20" s="785"/>
      <c r="W20" s="785">
        <f t="shared" si="12"/>
        <v>0</v>
      </c>
      <c r="X20" s="786">
        <f t="shared" si="12"/>
        <v>0</v>
      </c>
      <c r="Y20" s="785">
        <f t="shared" si="12"/>
        <v>0</v>
      </c>
      <c r="Z20" s="785">
        <f t="shared" ref="Z20" si="14">SUM(Z21+Z22+Z23+Z24+Z25)</f>
        <v>0</v>
      </c>
      <c r="AA20" s="785">
        <f t="shared" si="12"/>
        <v>0</v>
      </c>
      <c r="AB20" s="785">
        <f t="shared" si="12"/>
        <v>0</v>
      </c>
      <c r="AC20" s="785">
        <f t="shared" si="12"/>
        <v>0</v>
      </c>
      <c r="AD20" s="785">
        <f t="shared" si="12"/>
        <v>0</v>
      </c>
      <c r="AE20" s="785">
        <f t="shared" si="12"/>
        <v>0</v>
      </c>
      <c r="AF20" s="785">
        <f t="shared" si="12"/>
        <v>0</v>
      </c>
      <c r="AG20" s="785">
        <f t="shared" si="12"/>
        <v>0</v>
      </c>
      <c r="AH20" s="785">
        <f t="shared" si="12"/>
        <v>0</v>
      </c>
      <c r="AI20" s="785">
        <f t="shared" si="12"/>
        <v>0</v>
      </c>
      <c r="AJ20" s="785">
        <f t="shared" si="12"/>
        <v>0</v>
      </c>
      <c r="AK20" s="785">
        <f t="shared" ref="AK20" si="15">SUM(AK21+AK22+AK23+AK24+AK25)</f>
        <v>0</v>
      </c>
      <c r="AL20" s="785">
        <f t="shared" si="12"/>
        <v>0</v>
      </c>
      <c r="AM20" s="785">
        <f t="shared" si="12"/>
        <v>0</v>
      </c>
      <c r="AN20" s="785">
        <f t="shared" si="12"/>
        <v>0</v>
      </c>
      <c r="AO20" s="785">
        <f t="shared" ref="AO20:AT20" si="16">SUM(AO21+AO22+AO23+AO24+AO25)</f>
        <v>0</v>
      </c>
      <c r="AP20" s="824">
        <f t="shared" si="16"/>
        <v>0</v>
      </c>
      <c r="AQ20" s="824">
        <f t="shared" si="16"/>
        <v>0</v>
      </c>
      <c r="AR20" s="824">
        <f t="shared" si="16"/>
        <v>0</v>
      </c>
      <c r="AS20" s="824">
        <f t="shared" si="16"/>
        <v>0</v>
      </c>
      <c r="AT20" s="785">
        <f t="shared" si="16"/>
        <v>0</v>
      </c>
    </row>
    <row r="21" spans="1:46" ht="15" x14ac:dyDescent="0.25">
      <c r="A21" s="548">
        <v>2100</v>
      </c>
      <c r="B21" s="476"/>
      <c r="C21" s="304" t="s">
        <v>14</v>
      </c>
      <c r="D21" s="742">
        <f t="shared" ref="D21:D31" si="17">SUM(E21:AT21)</f>
        <v>0</v>
      </c>
      <c r="E21" s="780"/>
      <c r="F21" s="780"/>
      <c r="G21" s="780"/>
      <c r="H21" s="780"/>
      <c r="I21" s="781"/>
      <c r="J21" s="780"/>
      <c r="K21" s="780"/>
      <c r="L21" s="780"/>
      <c r="M21" s="780"/>
      <c r="N21" s="780"/>
      <c r="O21" s="780"/>
      <c r="P21" s="744"/>
      <c r="Q21" s="744"/>
      <c r="R21" s="744"/>
      <c r="S21" s="744"/>
      <c r="T21" s="780"/>
      <c r="U21" s="780"/>
      <c r="V21" s="780"/>
      <c r="W21" s="780"/>
      <c r="X21" s="781"/>
      <c r="Y21" s="780"/>
      <c r="Z21" s="780"/>
      <c r="AA21" s="780"/>
      <c r="AB21" s="780"/>
      <c r="AC21" s="781"/>
      <c r="AD21" s="781"/>
      <c r="AE21" s="781"/>
      <c r="AF21" s="781"/>
      <c r="AG21" s="781"/>
      <c r="AH21" s="781"/>
      <c r="AI21" s="781"/>
      <c r="AJ21" s="781"/>
      <c r="AK21" s="781"/>
      <c r="AL21" s="781"/>
      <c r="AM21" s="781"/>
      <c r="AN21" s="781"/>
      <c r="AO21" s="781"/>
      <c r="AP21" s="824">
        <v>0</v>
      </c>
      <c r="AQ21" s="824">
        <v>0</v>
      </c>
      <c r="AR21" s="824">
        <v>0</v>
      </c>
      <c r="AS21" s="824">
        <v>0</v>
      </c>
      <c r="AT21" s="780"/>
    </row>
    <row r="22" spans="1:46" ht="15" x14ac:dyDescent="0.25">
      <c r="A22" s="548">
        <v>2200</v>
      </c>
      <c r="B22" s="476"/>
      <c r="C22" s="304" t="s">
        <v>15</v>
      </c>
      <c r="D22" s="742">
        <f t="shared" si="17"/>
        <v>266672</v>
      </c>
      <c r="E22" s="744">
        <v>15000</v>
      </c>
      <c r="F22" s="789">
        <v>5000</v>
      </c>
      <c r="G22" s="789">
        <v>176400</v>
      </c>
      <c r="H22" s="789">
        <v>19360</v>
      </c>
      <c r="I22" s="781">
        <v>0</v>
      </c>
      <c r="J22" s="789">
        <v>0</v>
      </c>
      <c r="K22" s="789">
        <v>21500</v>
      </c>
      <c r="L22" s="789"/>
      <c r="M22" s="789"/>
      <c r="N22" s="789"/>
      <c r="O22" s="781">
        <v>29412</v>
      </c>
      <c r="P22" s="744"/>
      <c r="Q22" s="744"/>
      <c r="R22" s="744"/>
      <c r="S22" s="744"/>
      <c r="T22" s="789"/>
      <c r="U22" s="789"/>
      <c r="V22" s="789"/>
      <c r="W22" s="789"/>
      <c r="X22" s="781"/>
      <c r="Y22" s="789"/>
      <c r="Z22" s="789"/>
      <c r="AA22" s="789"/>
      <c r="AB22" s="789"/>
      <c r="AC22" s="781"/>
      <c r="AD22" s="781"/>
      <c r="AE22" s="781"/>
      <c r="AF22" s="781"/>
      <c r="AG22" s="781"/>
      <c r="AH22" s="781"/>
      <c r="AI22" s="781"/>
      <c r="AJ22" s="781"/>
      <c r="AK22" s="781"/>
      <c r="AL22" s="781"/>
      <c r="AM22" s="781"/>
      <c r="AN22" s="781"/>
      <c r="AO22" s="781"/>
      <c r="AP22" s="824"/>
      <c r="AQ22" s="824"/>
      <c r="AR22" s="824"/>
      <c r="AS22" s="824"/>
      <c r="AT22" s="789"/>
    </row>
    <row r="23" spans="1:46" ht="15" x14ac:dyDescent="0.25">
      <c r="A23" s="548">
        <v>2300</v>
      </c>
      <c r="B23" s="297"/>
      <c r="C23" s="302" t="s">
        <v>16</v>
      </c>
      <c r="D23" s="790">
        <f t="shared" si="17"/>
        <v>59700</v>
      </c>
      <c r="E23" s="744"/>
      <c r="F23" s="744"/>
      <c r="G23" s="744">
        <v>23600</v>
      </c>
      <c r="H23" s="744"/>
      <c r="I23" s="781"/>
      <c r="J23" s="744"/>
      <c r="K23" s="744">
        <v>36100</v>
      </c>
      <c r="L23" s="744"/>
      <c r="M23" s="744"/>
      <c r="N23" s="744"/>
      <c r="O23" s="744"/>
      <c r="P23" s="744"/>
      <c r="Q23" s="744"/>
      <c r="R23" s="744"/>
      <c r="S23" s="744"/>
      <c r="T23" s="744"/>
      <c r="U23" s="744"/>
      <c r="V23" s="744"/>
      <c r="W23" s="744"/>
      <c r="X23" s="781"/>
      <c r="Y23" s="744"/>
      <c r="Z23" s="744"/>
      <c r="AA23" s="744"/>
      <c r="AB23" s="744"/>
      <c r="AC23" s="781"/>
      <c r="AD23" s="781"/>
      <c r="AE23" s="781"/>
      <c r="AF23" s="781"/>
      <c r="AG23" s="781"/>
      <c r="AH23" s="781"/>
      <c r="AI23" s="781"/>
      <c r="AJ23" s="781"/>
      <c r="AK23" s="781"/>
      <c r="AL23" s="781"/>
      <c r="AM23" s="781"/>
      <c r="AN23" s="781"/>
      <c r="AO23" s="781"/>
      <c r="AP23" s="824"/>
      <c r="AQ23" s="824"/>
      <c r="AR23" s="824"/>
      <c r="AS23" s="824"/>
      <c r="AT23" s="744"/>
    </row>
    <row r="24" spans="1:46" ht="15" x14ac:dyDescent="0.25">
      <c r="A24" s="548">
        <v>2400</v>
      </c>
      <c r="B24" s="297"/>
      <c r="C24" s="302" t="s">
        <v>181</v>
      </c>
      <c r="D24" s="790">
        <f t="shared" si="17"/>
        <v>0</v>
      </c>
      <c r="E24" s="744"/>
      <c r="F24" s="744"/>
      <c r="G24" s="791"/>
      <c r="H24" s="744"/>
      <c r="I24" s="781"/>
      <c r="J24" s="744"/>
      <c r="K24" s="744"/>
      <c r="L24" s="744"/>
      <c r="M24" s="744"/>
      <c r="N24" s="744"/>
      <c r="O24" s="744"/>
      <c r="P24" s="744"/>
      <c r="Q24" s="744"/>
      <c r="R24" s="744"/>
      <c r="S24" s="744"/>
      <c r="T24" s="744"/>
      <c r="U24" s="744"/>
      <c r="V24" s="744"/>
      <c r="W24" s="744"/>
      <c r="X24" s="781"/>
      <c r="Y24" s="744"/>
      <c r="Z24" s="744"/>
      <c r="AA24" s="744"/>
      <c r="AB24" s="744"/>
      <c r="AC24" s="781"/>
      <c r="AD24" s="781"/>
      <c r="AE24" s="781"/>
      <c r="AF24" s="781"/>
      <c r="AG24" s="781"/>
      <c r="AH24" s="781"/>
      <c r="AI24" s="781"/>
      <c r="AJ24" s="781"/>
      <c r="AK24" s="781"/>
      <c r="AL24" s="781"/>
      <c r="AM24" s="781"/>
      <c r="AN24" s="781"/>
      <c r="AO24" s="781"/>
      <c r="AP24" s="824"/>
      <c r="AQ24" s="824"/>
      <c r="AR24" s="824"/>
      <c r="AS24" s="824"/>
      <c r="AT24" s="744"/>
    </row>
    <row r="25" spans="1:46" ht="15" x14ac:dyDescent="0.25">
      <c r="A25" s="548">
        <v>2500</v>
      </c>
      <c r="B25" s="297"/>
      <c r="C25" s="302" t="s">
        <v>17</v>
      </c>
      <c r="D25" s="790">
        <f t="shared" si="17"/>
        <v>0</v>
      </c>
      <c r="E25" s="792"/>
      <c r="F25" s="744"/>
      <c r="G25" s="744"/>
      <c r="H25" s="744"/>
      <c r="I25" s="781"/>
      <c r="J25" s="744"/>
      <c r="K25" s="744"/>
      <c r="L25" s="744"/>
      <c r="M25" s="744"/>
      <c r="N25" s="744"/>
      <c r="O25" s="744"/>
      <c r="P25" s="744"/>
      <c r="Q25" s="744"/>
      <c r="R25" s="744"/>
      <c r="S25" s="744"/>
      <c r="T25" s="744"/>
      <c r="U25" s="744"/>
      <c r="V25" s="744"/>
      <c r="W25" s="744"/>
      <c r="X25" s="781"/>
      <c r="Y25" s="744"/>
      <c r="Z25" s="744"/>
      <c r="AA25" s="744"/>
      <c r="AB25" s="744"/>
      <c r="AC25" s="781"/>
      <c r="AD25" s="781"/>
      <c r="AE25" s="781"/>
      <c r="AF25" s="781"/>
      <c r="AG25" s="781"/>
      <c r="AH25" s="781"/>
      <c r="AI25" s="781"/>
      <c r="AJ25" s="781"/>
      <c r="AK25" s="781"/>
      <c r="AL25" s="781"/>
      <c r="AM25" s="781"/>
      <c r="AN25" s="781"/>
      <c r="AO25" s="781"/>
      <c r="AP25" s="824">
        <v>0</v>
      </c>
      <c r="AQ25" s="824">
        <v>0</v>
      </c>
      <c r="AR25" s="824">
        <v>0</v>
      </c>
      <c r="AS25" s="824">
        <v>0</v>
      </c>
      <c r="AT25" s="744"/>
    </row>
    <row r="26" spans="1:46" ht="15" x14ac:dyDescent="0.25">
      <c r="A26" s="548">
        <v>3200</v>
      </c>
      <c r="B26" s="297">
        <v>3260</v>
      </c>
      <c r="C26" s="302" t="s">
        <v>182</v>
      </c>
      <c r="D26" s="790">
        <f t="shared" si="17"/>
        <v>143500</v>
      </c>
      <c r="E26" s="744"/>
      <c r="F26" s="744"/>
      <c r="G26" s="744"/>
      <c r="H26" s="744"/>
      <c r="I26" s="781"/>
      <c r="J26" s="744">
        <v>6000</v>
      </c>
      <c r="K26" s="744">
        <v>17500</v>
      </c>
      <c r="L26" s="744"/>
      <c r="M26" s="744"/>
      <c r="N26" s="744"/>
      <c r="O26" s="744"/>
      <c r="P26" s="744"/>
      <c r="Q26" s="744"/>
      <c r="R26" s="744">
        <v>60000</v>
      </c>
      <c r="S26" s="744"/>
      <c r="T26" s="744">
        <v>30000</v>
      </c>
      <c r="U26" s="744">
        <v>30000</v>
      </c>
      <c r="V26" s="744"/>
      <c r="W26" s="744"/>
      <c r="X26" s="781"/>
      <c r="Y26" s="744"/>
      <c r="Z26" s="744"/>
      <c r="AA26" s="744"/>
      <c r="AB26" s="744"/>
      <c r="AC26" s="781"/>
      <c r="AD26" s="781"/>
      <c r="AE26" s="781"/>
      <c r="AF26" s="781"/>
      <c r="AG26" s="781"/>
      <c r="AH26" s="781"/>
      <c r="AI26" s="781"/>
      <c r="AJ26" s="781"/>
      <c r="AK26" s="781"/>
      <c r="AL26" s="781"/>
      <c r="AM26" s="781"/>
      <c r="AN26" s="781"/>
      <c r="AO26" s="781"/>
      <c r="AP26" s="824"/>
      <c r="AQ26" s="824"/>
      <c r="AR26" s="824"/>
      <c r="AS26" s="824"/>
      <c r="AT26" s="744"/>
    </row>
    <row r="27" spans="1:46" ht="15" x14ac:dyDescent="0.25">
      <c r="A27" s="548">
        <v>4310</v>
      </c>
      <c r="B27" s="297">
        <v>4311</v>
      </c>
      <c r="C27" s="302" t="s">
        <v>21</v>
      </c>
      <c r="D27" s="790">
        <f t="shared" si="17"/>
        <v>0</v>
      </c>
      <c r="E27" s="744"/>
      <c r="F27" s="744"/>
      <c r="G27" s="744"/>
      <c r="H27" s="744"/>
      <c r="I27" s="781"/>
      <c r="J27" s="744"/>
      <c r="K27" s="744"/>
      <c r="L27" s="744"/>
      <c r="M27" s="744"/>
      <c r="N27" s="744"/>
      <c r="O27" s="744"/>
      <c r="P27" s="744"/>
      <c r="Q27" s="744"/>
      <c r="R27" s="744"/>
      <c r="S27" s="744"/>
      <c r="T27" s="744"/>
      <c r="U27" s="744"/>
      <c r="V27" s="744"/>
      <c r="W27" s="744"/>
      <c r="X27" s="781"/>
      <c r="Y27" s="744"/>
      <c r="Z27" s="744"/>
      <c r="AA27" s="744"/>
      <c r="AB27" s="744"/>
      <c r="AC27" s="781"/>
      <c r="AD27" s="781"/>
      <c r="AE27" s="781"/>
      <c r="AF27" s="781"/>
      <c r="AG27" s="781"/>
      <c r="AH27" s="781"/>
      <c r="AI27" s="781"/>
      <c r="AJ27" s="781"/>
      <c r="AK27" s="781"/>
      <c r="AL27" s="781"/>
      <c r="AM27" s="781"/>
      <c r="AN27" s="781"/>
      <c r="AO27" s="781"/>
      <c r="AP27" s="824"/>
      <c r="AQ27" s="824"/>
      <c r="AR27" s="824"/>
      <c r="AS27" s="824"/>
      <c r="AT27" s="744"/>
    </row>
    <row r="28" spans="1:46" ht="15" x14ac:dyDescent="0.25">
      <c r="A28" s="548">
        <v>5100</v>
      </c>
      <c r="B28" s="297"/>
      <c r="C28" s="302" t="s">
        <v>22</v>
      </c>
      <c r="D28" s="790">
        <f t="shared" si="17"/>
        <v>0</v>
      </c>
      <c r="E28" s="744"/>
      <c r="F28" s="744"/>
      <c r="G28" s="744"/>
      <c r="H28" s="744"/>
      <c r="I28" s="781"/>
      <c r="J28" s="744"/>
      <c r="K28" s="744"/>
      <c r="L28" s="744"/>
      <c r="M28" s="744"/>
      <c r="N28" s="744"/>
      <c r="O28" s="744"/>
      <c r="P28" s="744"/>
      <c r="Q28" s="744"/>
      <c r="R28" s="744"/>
      <c r="S28" s="744"/>
      <c r="T28" s="744"/>
      <c r="U28" s="744"/>
      <c r="V28" s="744"/>
      <c r="W28" s="744"/>
      <c r="X28" s="781"/>
      <c r="Y28" s="744"/>
      <c r="Z28" s="744"/>
      <c r="AA28" s="744"/>
      <c r="AB28" s="744"/>
      <c r="AC28" s="781"/>
      <c r="AD28" s="781"/>
      <c r="AE28" s="781"/>
      <c r="AF28" s="781"/>
      <c r="AG28" s="781"/>
      <c r="AH28" s="781"/>
      <c r="AI28" s="781"/>
      <c r="AJ28" s="781"/>
      <c r="AK28" s="781"/>
      <c r="AL28" s="781"/>
      <c r="AM28" s="781"/>
      <c r="AN28" s="781"/>
      <c r="AO28" s="781"/>
      <c r="AP28" s="824">
        <v>0</v>
      </c>
      <c r="AQ28" s="824">
        <v>0</v>
      </c>
      <c r="AR28" s="824">
        <v>0</v>
      </c>
      <c r="AS28" s="824">
        <v>0</v>
      </c>
      <c r="AT28" s="744"/>
    </row>
    <row r="29" spans="1:46" ht="15" x14ac:dyDescent="0.25">
      <c r="A29" s="548">
        <v>5200</v>
      </c>
      <c r="B29" s="297"/>
      <c r="C29" s="302" t="s">
        <v>23</v>
      </c>
      <c r="D29" s="790">
        <f t="shared" si="17"/>
        <v>8073078</v>
      </c>
      <c r="E29" s="744">
        <v>65000</v>
      </c>
      <c r="F29" s="744"/>
      <c r="G29" s="744"/>
      <c r="H29" s="744"/>
      <c r="I29" s="781">
        <v>252734</v>
      </c>
      <c r="J29" s="744"/>
      <c r="K29" s="744">
        <v>9700</v>
      </c>
      <c r="L29" s="744">
        <v>154353</v>
      </c>
      <c r="M29" s="744">
        <v>335031</v>
      </c>
      <c r="N29" s="744">
        <v>197917</v>
      </c>
      <c r="O29" s="744">
        <v>2587</v>
      </c>
      <c r="P29" s="744">
        <v>571265</v>
      </c>
      <c r="Q29" s="744">
        <f>Q9+Q10</f>
        <v>119760</v>
      </c>
      <c r="R29" s="744"/>
      <c r="S29" s="744">
        <f>S10+S9</f>
        <v>533704</v>
      </c>
      <c r="T29" s="744"/>
      <c r="U29" s="744"/>
      <c r="V29" s="744">
        <v>190080</v>
      </c>
      <c r="W29" s="744">
        <v>31460</v>
      </c>
      <c r="X29" s="781">
        <v>200000</v>
      </c>
      <c r="Y29" s="744">
        <v>13000</v>
      </c>
      <c r="Z29" s="744">
        <v>455470</v>
      </c>
      <c r="AA29" s="744">
        <v>42043</v>
      </c>
      <c r="AB29" s="744">
        <v>61416</v>
      </c>
      <c r="AC29" s="781">
        <v>507107</v>
      </c>
      <c r="AD29" s="781">
        <v>21659</v>
      </c>
      <c r="AE29" s="781">
        <v>43282</v>
      </c>
      <c r="AF29" s="781">
        <v>36300</v>
      </c>
      <c r="AG29" s="781">
        <v>114200</v>
      </c>
      <c r="AH29" s="781">
        <v>137298</v>
      </c>
      <c r="AI29" s="781">
        <v>116845</v>
      </c>
      <c r="AJ29" s="781">
        <v>107795</v>
      </c>
      <c r="AK29" s="781">
        <v>733851</v>
      </c>
      <c r="AL29" s="781">
        <v>25000</v>
      </c>
      <c r="AM29" s="781">
        <v>12500</v>
      </c>
      <c r="AN29" s="781">
        <v>352924</v>
      </c>
      <c r="AO29" s="781">
        <v>60000</v>
      </c>
      <c r="AP29" s="824">
        <v>20000</v>
      </c>
      <c r="AQ29" s="824">
        <v>1714572</v>
      </c>
      <c r="AR29" s="824">
        <v>315717</v>
      </c>
      <c r="AS29" s="824">
        <v>468508</v>
      </c>
      <c r="AT29" s="744">
        <v>50000</v>
      </c>
    </row>
    <row r="30" spans="1:46" ht="15" x14ac:dyDescent="0.25">
      <c r="A30" s="548">
        <v>6200</v>
      </c>
      <c r="B30" s="297"/>
      <c r="C30" s="302" t="s">
        <v>24</v>
      </c>
      <c r="D30" s="790">
        <f t="shared" si="17"/>
        <v>0</v>
      </c>
      <c r="E30" s="744"/>
      <c r="F30" s="744"/>
      <c r="G30" s="744"/>
      <c r="H30" s="744"/>
      <c r="I30" s="781"/>
      <c r="J30" s="744"/>
      <c r="K30" s="744"/>
      <c r="L30" s="744"/>
      <c r="M30" s="744"/>
      <c r="N30" s="744"/>
      <c r="O30" s="744"/>
      <c r="P30" s="744"/>
      <c r="Q30" s="744"/>
      <c r="R30" s="744"/>
      <c r="S30" s="744"/>
      <c r="T30" s="744"/>
      <c r="U30" s="744"/>
      <c r="V30" s="744"/>
      <c r="W30" s="744"/>
      <c r="X30" s="781"/>
      <c r="Y30" s="744"/>
      <c r="Z30" s="744"/>
      <c r="AA30" s="744"/>
      <c r="AB30" s="744"/>
      <c r="AC30" s="781"/>
      <c r="AD30" s="781"/>
      <c r="AE30" s="781"/>
      <c r="AF30" s="781"/>
      <c r="AG30" s="781"/>
      <c r="AH30" s="781"/>
      <c r="AI30" s="781"/>
      <c r="AJ30" s="781"/>
      <c r="AK30" s="781"/>
      <c r="AL30" s="781"/>
      <c r="AM30" s="781"/>
      <c r="AN30" s="781"/>
      <c r="AO30" s="781"/>
      <c r="AP30" s="824"/>
      <c r="AQ30" s="824"/>
      <c r="AR30" s="824"/>
      <c r="AS30" s="824"/>
      <c r="AT30" s="744"/>
    </row>
    <row r="31" spans="1:46" ht="15" x14ac:dyDescent="0.25">
      <c r="A31" s="549">
        <v>7240</v>
      </c>
      <c r="B31" s="630"/>
      <c r="C31" s="637" t="s">
        <v>183</v>
      </c>
      <c r="D31" s="790">
        <f t="shared" si="17"/>
        <v>0</v>
      </c>
      <c r="E31" s="759"/>
      <c r="F31" s="759"/>
      <c r="G31" s="759"/>
      <c r="H31" s="759"/>
      <c r="I31" s="793"/>
      <c r="J31" s="759"/>
      <c r="K31" s="759"/>
      <c r="L31" s="759"/>
      <c r="M31" s="759"/>
      <c r="N31" s="759"/>
      <c r="O31" s="759"/>
      <c r="P31" s="759"/>
      <c r="Q31" s="759"/>
      <c r="R31" s="759"/>
      <c r="S31" s="759"/>
      <c r="T31" s="759"/>
      <c r="U31" s="759"/>
      <c r="V31" s="759"/>
      <c r="W31" s="759"/>
      <c r="X31" s="793"/>
      <c r="Y31" s="759"/>
      <c r="Z31" s="759"/>
      <c r="AA31" s="759"/>
      <c r="AB31" s="759"/>
      <c r="AC31" s="793"/>
      <c r="AD31" s="793"/>
      <c r="AE31" s="793"/>
      <c r="AF31" s="793"/>
      <c r="AG31" s="793"/>
      <c r="AH31" s="793"/>
      <c r="AI31" s="793"/>
      <c r="AJ31" s="793"/>
      <c r="AK31" s="793"/>
      <c r="AL31" s="793"/>
      <c r="AM31" s="793"/>
      <c r="AN31" s="793"/>
      <c r="AO31" s="793"/>
      <c r="AP31" s="825"/>
      <c r="AQ31" s="825"/>
      <c r="AR31" s="825"/>
      <c r="AS31" s="825"/>
      <c r="AT31" s="759"/>
    </row>
    <row r="32" spans="1:46" ht="15.75" thickBot="1" x14ac:dyDescent="0.3">
      <c r="A32" s="549">
        <v>7700</v>
      </c>
      <c r="B32" s="630">
        <v>7720</v>
      </c>
      <c r="C32" s="637" t="s">
        <v>116</v>
      </c>
      <c r="D32" s="790">
        <f>SUM(E32:U32)</f>
        <v>0</v>
      </c>
      <c r="E32" s="759"/>
      <c r="F32" s="759"/>
      <c r="G32" s="759"/>
      <c r="H32" s="759"/>
      <c r="I32" s="793"/>
      <c r="J32" s="759"/>
      <c r="K32" s="759"/>
      <c r="L32" s="759"/>
      <c r="M32" s="759"/>
      <c r="N32" s="759"/>
      <c r="O32" s="759"/>
      <c r="P32" s="759"/>
      <c r="Q32" s="759"/>
      <c r="R32" s="759"/>
      <c r="S32" s="759"/>
      <c r="T32" s="759"/>
      <c r="U32" s="759"/>
      <c r="V32" s="759"/>
      <c r="W32" s="759"/>
      <c r="X32" s="793"/>
      <c r="Y32" s="759"/>
      <c r="Z32" s="759"/>
      <c r="AA32" s="759"/>
      <c r="AB32" s="759"/>
      <c r="AC32" s="793"/>
      <c r="AD32" s="793"/>
      <c r="AE32" s="793"/>
      <c r="AF32" s="793"/>
      <c r="AG32" s="793"/>
      <c r="AH32" s="793"/>
      <c r="AI32" s="793"/>
      <c r="AJ32" s="793"/>
      <c r="AK32" s="793"/>
      <c r="AL32" s="793"/>
      <c r="AM32" s="793"/>
      <c r="AN32" s="793"/>
      <c r="AO32" s="793"/>
      <c r="AP32" s="825"/>
      <c r="AQ32" s="825"/>
      <c r="AR32" s="825"/>
      <c r="AS32" s="825"/>
      <c r="AT32" s="759"/>
    </row>
    <row r="33" spans="1:46" ht="15" thickBot="1" x14ac:dyDescent="0.25">
      <c r="A33" s="474"/>
      <c r="B33" s="631"/>
      <c r="C33" s="300" t="s">
        <v>26</v>
      </c>
      <c r="D33" s="764">
        <f>SUM(D18+D19+D20+D26+D27+D28+D29+D30+D31+D32)</f>
        <v>8545277</v>
      </c>
      <c r="E33" s="764">
        <f t="shared" ref="E33:AN33" si="18">SUM(E18+E19+E20+E26+E27+E28+E29+E30+E31+E32)</f>
        <v>80000</v>
      </c>
      <c r="F33" s="764">
        <f t="shared" si="18"/>
        <v>5000</v>
      </c>
      <c r="G33" s="764">
        <f t="shared" si="18"/>
        <v>200000</v>
      </c>
      <c r="H33" s="764">
        <f t="shared" si="18"/>
        <v>19360</v>
      </c>
      <c r="I33" s="764">
        <f t="shared" si="18"/>
        <v>252734</v>
      </c>
      <c r="J33" s="764">
        <f t="shared" si="18"/>
        <v>6000</v>
      </c>
      <c r="K33" s="764">
        <f t="shared" si="18"/>
        <v>84800</v>
      </c>
      <c r="L33" s="764">
        <f t="shared" si="18"/>
        <v>154353</v>
      </c>
      <c r="M33" s="764">
        <f t="shared" si="18"/>
        <v>335031</v>
      </c>
      <c r="N33" s="764">
        <f t="shared" si="18"/>
        <v>197917</v>
      </c>
      <c r="O33" s="764">
        <f t="shared" si="18"/>
        <v>34326</v>
      </c>
      <c r="P33" s="764">
        <f t="shared" si="18"/>
        <v>571265</v>
      </c>
      <c r="Q33" s="764">
        <f t="shared" ref="Q33" si="19">SUM(Q18+Q19+Q20+Q26+Q27+Q28+Q29+Q30+Q31+Q32)</f>
        <v>119760</v>
      </c>
      <c r="R33" s="764">
        <f t="shared" si="18"/>
        <v>60000</v>
      </c>
      <c r="S33" s="764">
        <f t="shared" si="18"/>
        <v>533704</v>
      </c>
      <c r="T33" s="764">
        <f t="shared" si="18"/>
        <v>30000</v>
      </c>
      <c r="U33" s="764">
        <f t="shared" si="18"/>
        <v>30000</v>
      </c>
      <c r="V33" s="764">
        <f t="shared" ref="V33" si="20">SUM(V18+V19+V20+V26+V27+V28+V29+V30+V31+V32)</f>
        <v>190080</v>
      </c>
      <c r="W33" s="764">
        <f t="shared" si="18"/>
        <v>31460</v>
      </c>
      <c r="X33" s="948">
        <f t="shared" si="18"/>
        <v>200000</v>
      </c>
      <c r="Y33" s="764">
        <f t="shared" si="18"/>
        <v>13000</v>
      </c>
      <c r="Z33" s="764">
        <f t="shared" ref="Z33" si="21">SUM(Z18+Z19+Z20+Z26+Z27+Z28+Z29+Z30+Z31+Z32)</f>
        <v>455470</v>
      </c>
      <c r="AA33" s="764">
        <f t="shared" si="18"/>
        <v>42043</v>
      </c>
      <c r="AB33" s="764">
        <f t="shared" si="18"/>
        <v>61416</v>
      </c>
      <c r="AC33" s="764">
        <f t="shared" si="18"/>
        <v>507107</v>
      </c>
      <c r="AD33" s="764">
        <f t="shared" si="18"/>
        <v>21659</v>
      </c>
      <c r="AE33" s="764">
        <f t="shared" si="18"/>
        <v>43282</v>
      </c>
      <c r="AF33" s="764">
        <f t="shared" si="18"/>
        <v>36300</v>
      </c>
      <c r="AG33" s="764">
        <f t="shared" si="18"/>
        <v>114200</v>
      </c>
      <c r="AH33" s="764">
        <f t="shared" si="18"/>
        <v>137298</v>
      </c>
      <c r="AI33" s="764">
        <f t="shared" si="18"/>
        <v>116845</v>
      </c>
      <c r="AJ33" s="764">
        <f t="shared" si="18"/>
        <v>107795</v>
      </c>
      <c r="AK33" s="764">
        <f t="shared" ref="AK33" si="22">SUM(AK18+AK19+AK20+AK26+AK27+AK28+AK29+AK30+AK31+AK32)</f>
        <v>733851</v>
      </c>
      <c r="AL33" s="764">
        <f t="shared" si="18"/>
        <v>25000</v>
      </c>
      <c r="AM33" s="764">
        <f t="shared" si="18"/>
        <v>12500</v>
      </c>
      <c r="AN33" s="764">
        <f t="shared" si="18"/>
        <v>352924</v>
      </c>
      <c r="AO33" s="764">
        <f t="shared" ref="AO33:AT33" si="23">SUM(AO18+AO19+AO20+AO26+AO27+AO28+AO29+AO30+AO31+AO32)</f>
        <v>60000</v>
      </c>
      <c r="AP33" s="965">
        <f t="shared" si="23"/>
        <v>20000</v>
      </c>
      <c r="AQ33" s="965">
        <f t="shared" si="23"/>
        <v>1714572</v>
      </c>
      <c r="AR33" s="965">
        <f t="shared" si="23"/>
        <v>315717</v>
      </c>
      <c r="AS33" s="965">
        <f t="shared" si="23"/>
        <v>468508</v>
      </c>
      <c r="AT33" s="764">
        <f t="shared" si="23"/>
        <v>50000</v>
      </c>
    </row>
    <row r="34" spans="1:46" ht="15.75" thickBot="1" x14ac:dyDescent="0.3">
      <c r="A34" s="482"/>
      <c r="B34" s="632"/>
      <c r="C34" s="303"/>
      <c r="D34" s="794">
        <f>D15-D33</f>
        <v>0</v>
      </c>
      <c r="E34" s="794">
        <f t="shared" ref="E34:AN34" si="24">E15-E33</f>
        <v>0</v>
      </c>
      <c r="F34" s="794">
        <f t="shared" si="24"/>
        <v>0</v>
      </c>
      <c r="G34" s="794">
        <f t="shared" si="24"/>
        <v>0</v>
      </c>
      <c r="H34" s="794">
        <f t="shared" si="24"/>
        <v>0</v>
      </c>
      <c r="I34" s="794">
        <f t="shared" si="24"/>
        <v>0</v>
      </c>
      <c r="J34" s="794">
        <f t="shared" si="24"/>
        <v>0</v>
      </c>
      <c r="K34" s="794">
        <f t="shared" si="24"/>
        <v>0</v>
      </c>
      <c r="L34" s="794">
        <f t="shared" si="24"/>
        <v>0</v>
      </c>
      <c r="M34" s="794">
        <f t="shared" si="24"/>
        <v>0</v>
      </c>
      <c r="N34" s="794">
        <f t="shared" si="24"/>
        <v>0</v>
      </c>
      <c r="O34" s="794">
        <f t="shared" si="24"/>
        <v>0</v>
      </c>
      <c r="P34" s="794">
        <f t="shared" si="24"/>
        <v>0</v>
      </c>
      <c r="Q34" s="794">
        <f t="shared" ref="Q34" si="25">Q15-Q33</f>
        <v>0</v>
      </c>
      <c r="R34" s="794">
        <f t="shared" si="24"/>
        <v>0</v>
      </c>
      <c r="S34" s="794">
        <f t="shared" si="24"/>
        <v>0</v>
      </c>
      <c r="T34" s="794">
        <f t="shared" si="24"/>
        <v>0</v>
      </c>
      <c r="U34" s="794">
        <f t="shared" si="24"/>
        <v>0</v>
      </c>
      <c r="V34" s="794">
        <f t="shared" ref="V34" si="26">V15-V33</f>
        <v>0</v>
      </c>
      <c r="W34" s="794">
        <f t="shared" si="24"/>
        <v>0</v>
      </c>
      <c r="X34" s="949">
        <f t="shared" si="24"/>
        <v>0</v>
      </c>
      <c r="Y34" s="794">
        <f t="shared" si="24"/>
        <v>0</v>
      </c>
      <c r="Z34" s="794">
        <f t="shared" ref="Z34" si="27">Z15-Z33</f>
        <v>0</v>
      </c>
      <c r="AA34" s="794">
        <f t="shared" si="24"/>
        <v>0</v>
      </c>
      <c r="AB34" s="794">
        <f t="shared" si="24"/>
        <v>0</v>
      </c>
      <c r="AC34" s="794">
        <f t="shared" si="24"/>
        <v>0</v>
      </c>
      <c r="AD34" s="794">
        <f t="shared" si="24"/>
        <v>0</v>
      </c>
      <c r="AE34" s="794">
        <f t="shared" si="24"/>
        <v>0</v>
      </c>
      <c r="AF34" s="794">
        <f t="shared" si="24"/>
        <v>0</v>
      </c>
      <c r="AG34" s="794">
        <f t="shared" si="24"/>
        <v>0</v>
      </c>
      <c r="AH34" s="794">
        <f t="shared" si="24"/>
        <v>0</v>
      </c>
      <c r="AI34" s="794">
        <f t="shared" si="24"/>
        <v>0</v>
      </c>
      <c r="AJ34" s="794">
        <f t="shared" si="24"/>
        <v>0</v>
      </c>
      <c r="AK34" s="794">
        <f t="shared" ref="AK34" si="28">AK15-AK33</f>
        <v>0</v>
      </c>
      <c r="AL34" s="794">
        <f t="shared" si="24"/>
        <v>0</v>
      </c>
      <c r="AM34" s="794">
        <f t="shared" si="24"/>
        <v>0</v>
      </c>
      <c r="AN34" s="794">
        <f t="shared" si="24"/>
        <v>0</v>
      </c>
      <c r="AO34" s="794">
        <f t="shared" ref="AO34:AT34" si="29">AO15-AO33</f>
        <v>0</v>
      </c>
      <c r="AP34" s="826">
        <f t="shared" si="29"/>
        <v>0</v>
      </c>
      <c r="AQ34" s="826">
        <f t="shared" si="29"/>
        <v>0</v>
      </c>
      <c r="AR34" s="826">
        <f t="shared" si="29"/>
        <v>0</v>
      </c>
      <c r="AS34" s="826">
        <f t="shared" si="29"/>
        <v>0</v>
      </c>
      <c r="AT34" s="794">
        <f t="shared" si="29"/>
        <v>0</v>
      </c>
    </row>
    <row r="35" spans="1:46" x14ac:dyDescent="0.2">
      <c r="E35" s="795"/>
      <c r="F35" s="795"/>
      <c r="G35" s="795"/>
      <c r="H35" s="795"/>
      <c r="I35" s="796"/>
      <c r="J35" s="795"/>
      <c r="K35" s="795"/>
      <c r="L35" s="795"/>
      <c r="M35" s="795"/>
      <c r="N35" s="795"/>
      <c r="O35" s="795"/>
      <c r="P35" s="795"/>
      <c r="Q35" s="795"/>
      <c r="R35" s="795"/>
      <c r="S35" s="795"/>
      <c r="T35" s="795"/>
      <c r="U35" s="795"/>
      <c r="V35" s="795"/>
      <c r="W35" s="795"/>
      <c r="X35" s="796"/>
      <c r="Y35" s="795"/>
      <c r="Z35" s="795"/>
      <c r="AA35" s="795"/>
      <c r="AB35" s="795"/>
      <c r="AC35" s="795"/>
      <c r="AD35" s="795"/>
      <c r="AE35" s="795"/>
      <c r="AF35" s="795"/>
      <c r="AG35" s="795"/>
      <c r="AH35" s="796"/>
      <c r="AI35" s="796"/>
      <c r="AJ35" s="796"/>
      <c r="AK35" s="796"/>
      <c r="AL35" s="796"/>
      <c r="AM35" s="796"/>
      <c r="AN35" s="796"/>
      <c r="AO35" s="796"/>
      <c r="AT35" s="795"/>
    </row>
    <row r="36" spans="1:46" ht="15" x14ac:dyDescent="0.25">
      <c r="C36" s="8" t="s">
        <v>123</v>
      </c>
      <c r="D36" s="1" t="s">
        <v>38</v>
      </c>
      <c r="E36" s="795"/>
      <c r="F36" s="795"/>
      <c r="G36" s="795"/>
      <c r="H36" s="795"/>
      <c r="I36" s="796"/>
      <c r="J36" s="795"/>
      <c r="K36" s="795"/>
      <c r="L36" s="795"/>
      <c r="M36" s="795"/>
      <c r="N36" s="795"/>
      <c r="O36" s="795"/>
      <c r="P36" s="795"/>
      <c r="Q36" s="795"/>
      <c r="R36" s="795"/>
      <c r="S36" s="795"/>
      <c r="T36" s="795"/>
      <c r="U36" s="795"/>
      <c r="V36" s="795"/>
      <c r="W36" s="795"/>
      <c r="X36" s="796"/>
      <c r="Y36" s="795"/>
      <c r="Z36" s="795"/>
      <c r="AA36" s="795"/>
      <c r="AB36" s="795"/>
      <c r="AC36" s="795"/>
      <c r="AD36" s="795"/>
      <c r="AE36" s="795"/>
      <c r="AF36" s="795"/>
      <c r="AG36" s="795"/>
      <c r="AH36" s="795"/>
      <c r="AI36" s="795"/>
      <c r="AJ36" s="795"/>
      <c r="AK36" s="795"/>
      <c r="AL36" s="796"/>
      <c r="AM36" s="796"/>
      <c r="AN36" s="796"/>
      <c r="AO36" s="796"/>
      <c r="AT36" s="795"/>
    </row>
  </sheetData>
  <mergeCells count="2">
    <mergeCell ref="A5:C5"/>
    <mergeCell ref="A6:C6"/>
  </mergeCells>
  <pageMargins left="0.11811023622047245" right="0.11811023622047245"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PII</vt:lpstr>
      <vt:lpstr>Skolas</vt:lpstr>
      <vt:lpstr>Māksl.</vt:lpstr>
      <vt:lpstr>Sp.centrs</vt:lpstr>
      <vt:lpstr>Kult.iest.</vt:lpstr>
      <vt:lpstr>Kult.aktivit. 2022</vt:lpstr>
      <vt:lpstr>Polic. 2022</vt:lpstr>
      <vt:lpstr>Soc. apr. 2022</vt:lpstr>
      <vt:lpstr>Pašvald.proj.2022</vt:lpstr>
      <vt:lpstr>ES proj.2022</vt:lpstr>
      <vt:lpstr>Tautsaimn.</vt:lpstr>
      <vt:lpstr>Izglīt.soc.proj.2022</vt:lpstr>
      <vt:lpstr>Izpildvara</vt:lpstr>
      <vt:lpstr>Būvvalde</vt:lpstr>
      <vt:lpstr>Fin. PA Ogres komunik.</vt:lpstr>
      <vt:lpstr>Finans. kapitālsabiedr.</vt:lpstr>
      <vt:lpstr>Tauts.atšifr.</vt:lpstr>
      <vt:lpstr>Tauts. Pagastu pārv.</vt:lpstr>
      <vt:lpstr>Pārējās dažādas funkc.</vt:lpstr>
      <vt:lpstr>SP.komandu atb. 2021</vt:lpstr>
      <vt:lpstr>Sheet2</vt:lpstr>
    </vt:vector>
  </TitlesOfParts>
  <Company>Private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Installer</dc:creator>
  <cp:lastModifiedBy>Līga Nagle</cp:lastModifiedBy>
  <cp:lastPrinted>2022-01-26T07:02:43Z</cp:lastPrinted>
  <dcterms:created xsi:type="dcterms:W3CDTF">2007-01-07T18:55:45Z</dcterms:created>
  <dcterms:modified xsi:type="dcterms:W3CDTF">2022-01-28T08:35:11Z</dcterms:modified>
</cp:coreProperties>
</file>